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Users\Julla\Documents\Technical Analysis\Model\"/>
    </mc:Choice>
  </mc:AlternateContent>
  <xr:revisionPtr revIDLastSave="0" documentId="13_ncr:1_{3402FEAE-B7F6-4993-83A6-5DAF1E61B9B9}" xr6:coauthVersionLast="45" xr6:coauthVersionMax="45" xr10:uidLastSave="{00000000-0000-0000-0000-000000000000}"/>
  <bookViews>
    <workbookView xWindow="-108" yWindow="-108" windowWidth="23256" windowHeight="12576"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6" i="16" l="1"/>
  <c r="K140" i="16"/>
  <c r="V177" i="16"/>
  <c r="W204" i="16"/>
  <c r="AB187" i="11"/>
  <c r="Y137" i="11"/>
  <c r="Z137" i="11"/>
  <c r="K126" i="11"/>
  <c r="AG97" i="11"/>
  <c r="AH98" i="11"/>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AV121" i="7" s="1"/>
  <c r="J24" i="6" s="1"/>
  <c r="D20" i="23" s="1"/>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X101" i="17" l="1"/>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X101" i="16" l="1"/>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L50" i="4"/>
  <c r="AB6" i="10" s="1"/>
  <c r="CL97" i="17"/>
  <c r="BK28" i="6"/>
  <c r="I138" i="11"/>
  <c r="BW28" i="6"/>
  <c r="I138" i="17"/>
  <c r="CI97" i="11"/>
  <c r="CK97" i="11"/>
  <c r="CG97" i="11"/>
  <c r="AI97" i="11"/>
  <c r="CJ97" i="11"/>
  <c r="J97" i="11"/>
  <c r="J110" i="11" s="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BQ28" i="6"/>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M118" i="4" l="1"/>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AG110" i="11"/>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AX6" i="10"/>
  <c r="BA6" i="10" s="1"/>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O142" i="11" l="1"/>
  <c r="O150" i="11"/>
  <c r="O154" i="11"/>
  <c r="O158" i="11"/>
  <c r="O162" i="11"/>
  <c r="O166" i="11"/>
  <c r="O170" i="11"/>
  <c r="O147" i="11"/>
  <c r="O151" i="11"/>
  <c r="O155" i="11"/>
  <c r="O159" i="11"/>
  <c r="O163" i="11"/>
  <c r="O167" i="11"/>
  <c r="O137" i="1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O182" i="17"/>
  <c r="O190" i="17"/>
  <c r="O194" i="17"/>
  <c r="O198" i="17"/>
  <c r="O202" i="17"/>
  <c r="O206" i="17"/>
  <c r="O210" i="17"/>
  <c r="O179" i="17"/>
  <c r="O187" i="17"/>
  <c r="O191" i="17"/>
  <c r="O195" i="17"/>
  <c r="O199" i="17"/>
  <c r="O203" i="17"/>
  <c r="O207" i="17"/>
  <c r="O177" i="17"/>
  <c r="O188" i="17"/>
  <c r="O192" i="17"/>
  <c r="O196" i="17"/>
  <c r="O200" i="17"/>
  <c r="O204" i="17"/>
  <c r="O208" i="17"/>
  <c r="Y137" i="17"/>
  <c r="O139" i="17"/>
  <c r="O147" i="17"/>
  <c r="O151" i="17"/>
  <c r="O155" i="17"/>
  <c r="O159" i="17"/>
  <c r="O163" i="17"/>
  <c r="O167" i="17"/>
  <c r="O137" i="17"/>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O187" i="16"/>
  <c r="O191" i="16"/>
  <c r="O195" i="16"/>
  <c r="O199" i="16"/>
  <c r="O203" i="16"/>
  <c r="O207" i="16"/>
  <c r="O177" i="16"/>
  <c r="O188" i="16"/>
  <c r="O192" i="16"/>
  <c r="O196" i="16"/>
  <c r="O200" i="16"/>
  <c r="O204" i="16"/>
  <c r="O208" i="16"/>
  <c r="O181" i="16"/>
  <c r="O189" i="16"/>
  <c r="O193" i="16"/>
  <c r="O197" i="16"/>
  <c r="O201" i="16"/>
  <c r="O205" i="16"/>
  <c r="O209" i="16"/>
  <c r="O178" i="16"/>
  <c r="O182" i="16"/>
  <c r="O190" i="16"/>
  <c r="O194" i="16"/>
  <c r="O198" i="16"/>
  <c r="O202" i="16"/>
  <c r="O206" i="16"/>
  <c r="O210" i="16"/>
  <c r="I140" i="16"/>
  <c r="BX100" i="16"/>
  <c r="AB180" i="17"/>
  <c r="Y177" i="17"/>
  <c r="AB97" i="17"/>
  <c r="AB97" i="16"/>
  <c r="AC97" i="11"/>
  <c r="AD97" i="11"/>
  <c r="AW97" i="11" s="1"/>
  <c r="N82" i="3"/>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BA97" i="11"/>
  <c r="AB177" i="16"/>
  <c r="AB178" i="17"/>
  <c r="L178" i="17"/>
  <c r="AB138" i="17"/>
  <c r="AB140" i="11"/>
  <c r="L140" i="11"/>
  <c r="L180" i="16"/>
  <c r="L140" i="17"/>
  <c r="L180" i="11"/>
  <c r="AB180" i="11"/>
  <c r="K101" i="17"/>
  <c r="BW30" i="6"/>
  <c r="I140" i="17"/>
  <c r="Z179" i="17"/>
  <c r="Z139" i="17"/>
  <c r="L139" i="17"/>
  <c r="B253" i="9"/>
  <c r="B219" i="9"/>
  <c r="L177" i="16"/>
  <c r="M177" i="16" s="1"/>
  <c r="Z177" i="16"/>
  <c r="AG107" i="16"/>
  <c r="F138" i="11"/>
  <c r="F138" i="17"/>
  <c r="F138" i="16"/>
  <c r="F178" i="16"/>
  <c r="F178" i="11"/>
  <c r="F178" i="17"/>
  <c r="AB138" i="11"/>
  <c r="L138" i="11"/>
  <c r="BQ30" i="6"/>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L97" i="11"/>
  <c r="AB137" i="11"/>
  <c r="L137" i="11"/>
  <c r="M137" i="11" s="1"/>
  <c r="AB178" i="11"/>
  <c r="L178" i="11"/>
  <c r="I140" i="11"/>
  <c r="BK30" i="6"/>
  <c r="I179" i="11"/>
  <c r="CA99" i="11"/>
  <c r="BN29" i="6" s="1"/>
  <c r="L179" i="16"/>
  <c r="Z179" i="16"/>
  <c r="J128" i="11"/>
  <c r="AG127" i="11"/>
  <c r="AG113" i="17"/>
  <c r="J114" i="17"/>
  <c r="Z177" i="17"/>
  <c r="L137" i="17"/>
  <c r="M137" i="17" s="1"/>
  <c r="Z137" i="17"/>
  <c r="AG112" i="16"/>
  <c r="J113" i="16"/>
  <c r="Z178" i="17"/>
  <c r="L138" i="17"/>
  <c r="K99" i="16"/>
  <c r="CA99" i="17"/>
  <c r="BZ29" i="6" s="1"/>
  <c r="L139" i="11"/>
  <c r="AB139" i="11"/>
  <c r="AI98" i="16"/>
  <c r="B150" i="9" s="1"/>
  <c r="AB177" i="11"/>
  <c r="L177" i="11"/>
  <c r="M177" i="11" s="1"/>
  <c r="B252" i="9"/>
  <c r="B218" i="9"/>
  <c r="L178" i="16"/>
  <c r="Z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AP71" i="10"/>
  <c r="AN71" i="10"/>
  <c r="AM71" i="10"/>
  <c r="Z80" i="8"/>
  <c r="H20" i="6" s="1"/>
  <c r="J77" i="9"/>
  <c r="H77" i="9"/>
  <c r="AH80" i="8"/>
  <c r="I20" i="6" s="1"/>
  <c r="V71" i="10"/>
  <c r="AO71" i="10" s="1"/>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2" i="3"/>
  <c r="S82" i="3" s="1"/>
  <c r="Q81" i="3"/>
  <c r="S81" i="3" s="1"/>
  <c r="U81" i="3" s="1"/>
  <c r="V81" i="3" s="1"/>
  <c r="C84" i="3"/>
  <c r="A130" i="7"/>
  <c r="A123" i="4"/>
  <c r="A33" i="6"/>
  <c r="W32" i="6" s="1"/>
  <c r="BH32" i="6" s="1"/>
  <c r="A92" i="3"/>
  <c r="AV73" i="10" l="1"/>
  <c r="P80" i="9"/>
  <c r="T80" i="9" s="1"/>
  <c r="H177" i="17"/>
  <c r="G182" i="17"/>
  <c r="G181" i="17"/>
  <c r="G180" i="17"/>
  <c r="I141" i="16"/>
  <c r="BX101" i="16"/>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H180" i="17"/>
  <c r="CA100" i="17"/>
  <c r="BZ30" i="6" s="1"/>
  <c r="AB141" i="11"/>
  <c r="L141" i="11"/>
  <c r="I180" i="11"/>
  <c r="CA100" i="11"/>
  <c r="BN30" i="6" s="1"/>
  <c r="AB181" i="11"/>
  <c r="L181" i="11"/>
  <c r="BQ31" i="6"/>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87" i="18"/>
  <c r="AK87" i="18" s="1"/>
  <c r="AH87" i="3"/>
  <c r="AK87" i="3" s="1"/>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AX27" i="6"/>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O140" i="17" l="1"/>
  <c r="Z140" i="17" s="1"/>
  <c r="O180" i="16"/>
  <c r="Z180" i="16" s="1"/>
  <c r="Z180" i="17"/>
  <c r="I142" i="16"/>
  <c r="BX102" i="16"/>
  <c r="AX73" i="10"/>
  <c r="BA73" i="10" s="1"/>
  <c r="X87" i="18"/>
  <c r="AA87" i="18" s="1"/>
  <c r="AH87" i="19"/>
  <c r="AK87" i="19" s="1"/>
  <c r="N179" i="11"/>
  <c r="X87" i="19"/>
  <c r="AA87" i="19" s="1"/>
  <c r="T137" i="11"/>
  <c r="U137" i="1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X137" i="11"/>
  <c r="AD137" i="11" s="1"/>
  <c r="T177" i="17"/>
  <c r="N139" i="11"/>
  <c r="O139" i="11" s="1"/>
  <c r="AI100" i="16"/>
  <c r="B152" i="9" s="1"/>
  <c r="B151" i="9"/>
  <c r="AM177" i="17"/>
  <c r="AL177" i="17"/>
  <c r="AD177" i="17"/>
  <c r="AC177" i="17"/>
  <c r="Z140" i="16"/>
  <c r="K152" i="9" s="1"/>
  <c r="L182" i="17"/>
  <c r="AB182" i="17"/>
  <c r="AB142" i="17"/>
  <c r="Z141" i="16"/>
  <c r="K153" i="9" s="1"/>
  <c r="K254" i="9"/>
  <c r="AB182" i="16"/>
  <c r="R137" i="16"/>
  <c r="S137" i="16" s="1"/>
  <c r="T137" i="16" s="1"/>
  <c r="K255" i="9"/>
  <c r="AB142" i="16"/>
  <c r="L142" i="16"/>
  <c r="R137" i="17"/>
  <c r="S137" i="17" s="1"/>
  <c r="T137" i="17" s="1"/>
  <c r="R177" i="11"/>
  <c r="S177" i="11" s="1"/>
  <c r="H181" i="17"/>
  <c r="H181" i="16"/>
  <c r="U137" i="17"/>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G147" i="17"/>
  <c r="BW32" i="6"/>
  <c r="I142" i="17"/>
  <c r="Z142" i="16"/>
  <c r="K154" i="9" s="1"/>
  <c r="BQ32" i="6"/>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AZ73" i="10"/>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H139" i="17"/>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AB87" i="18"/>
  <c r="AC87" i="18"/>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AC87" i="19"/>
  <c r="AB87" i="19"/>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H142" i="16" s="1"/>
  <c r="G140" i="16"/>
  <c r="H140" i="16" s="1"/>
  <c r="G152" i="16"/>
  <c r="G147" i="16"/>
  <c r="AM87" i="18"/>
  <c r="AL87" i="18"/>
  <c r="AM87" i="19"/>
  <c r="AL87" i="19"/>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N140" i="11" l="1"/>
  <c r="O140" i="11" s="1"/>
  <c r="N180" i="11"/>
  <c r="O179" i="11"/>
  <c r="Z179" i="11" s="1"/>
  <c r="I143" i="16"/>
  <c r="BX103" i="16"/>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L137" i="17"/>
  <c r="X137" i="17"/>
  <c r="AM137" i="17"/>
  <c r="AD137" i="16"/>
  <c r="AM137" i="16"/>
  <c r="AM177" i="16"/>
  <c r="AL177" i="16"/>
  <c r="X177" i="16"/>
  <c r="K120" i="9"/>
  <c r="CA102" i="16"/>
  <c r="BT32" i="6" s="1"/>
  <c r="L183" i="16"/>
  <c r="BQ33" i="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N181" i="11" l="1"/>
  <c r="O181" i="11" s="1"/>
  <c r="O180" i="11"/>
  <c r="AI102" i="16"/>
  <c r="B154" i="9" s="1"/>
  <c r="B187" i="9"/>
  <c r="AL137" i="16"/>
  <c r="I144" i="16"/>
  <c r="BX104" i="16"/>
  <c r="AE137" i="16"/>
  <c r="BV97" i="16"/>
  <c r="AN177" i="16"/>
  <c r="AM97" i="17"/>
  <c r="AX97" i="17" s="1"/>
  <c r="AE97" i="17"/>
  <c r="AF97" i="17"/>
  <c r="AO97" i="17"/>
  <c r="AN97" i="17"/>
  <c r="AP97" i="17"/>
  <c r="AF97" i="16"/>
  <c r="AE97" i="16"/>
  <c r="AN97" i="16"/>
  <c r="AM97" i="16"/>
  <c r="BW97" i="16" s="1"/>
  <c r="AO97" i="16"/>
  <c r="L184" i="17"/>
  <c r="AB184" i="17"/>
  <c r="AB144" i="17"/>
  <c r="CE97" i="17"/>
  <c r="CC97" i="17"/>
  <c r="CK27" i="6" s="1"/>
  <c r="L144" i="16"/>
  <c r="AB144" i="16"/>
  <c r="AN137" i="11"/>
  <c r="AO137" i="11" s="1"/>
  <c r="AJ177" i="17"/>
  <c r="AB184" i="16"/>
  <c r="AN137" i="16"/>
  <c r="AO137" i="16" s="1"/>
  <c r="AD137" i="17"/>
  <c r="AC137" i="17"/>
  <c r="AN137" i="17"/>
  <c r="AO137" i="17" s="1"/>
  <c r="V137" i="16"/>
  <c r="W137" i="16" s="1"/>
  <c r="AG137" i="16"/>
  <c r="AH137" i="16"/>
  <c r="AI137" i="16"/>
  <c r="AF137" i="16"/>
  <c r="AC177" i="16"/>
  <c r="AD177" i="16"/>
  <c r="AO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B188" i="9"/>
  <c r="K83" i="9"/>
  <c r="J117" i="16"/>
  <c r="AG116" i="16"/>
  <c r="CA103" i="16"/>
  <c r="BT33" i="6" s="1"/>
  <c r="L184" i="11"/>
  <c r="AB184" i="11"/>
  <c r="BW34" i="6"/>
  <c r="I144" i="17"/>
  <c r="Z140" i="11"/>
  <c r="AI30" i="6" s="1"/>
  <c r="G155" i="17"/>
  <c r="AG117" i="17"/>
  <c r="J118" i="17"/>
  <c r="L184" i="16"/>
  <c r="BQ34" i="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Z180" i="11"/>
  <c r="Z181" i="1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I145" i="16" l="1"/>
  <c r="BX105" i="16"/>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BZ97" i="16"/>
  <c r="BS27" i="6" s="1"/>
  <c r="K85" i="9"/>
  <c r="K119" i="9"/>
  <c r="BK35" i="6"/>
  <c r="I145" i="11"/>
  <c r="L145" i="11"/>
  <c r="AB145" i="11"/>
  <c r="L145" i="17"/>
  <c r="AC177" i="11"/>
  <c r="K84" i="9"/>
  <c r="K118" i="9"/>
  <c r="BW35" i="6"/>
  <c r="I145" i="17"/>
  <c r="CA104" i="11"/>
  <c r="BN34" i="6" s="1"/>
  <c r="AB185" i="11"/>
  <c r="L185" i="11"/>
  <c r="BO27" i="6"/>
  <c r="G156" i="17"/>
  <c r="AI101" i="11"/>
  <c r="B118" i="9"/>
  <c r="B84" i="9"/>
  <c r="BQ35" i="6"/>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BQ37" i="6"/>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L97" i="16"/>
  <c r="N146" i="11"/>
  <c r="O146" i="11"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Z146" i="11"/>
  <c r="AI36" i="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BQ38" i="6"/>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Y147" i="11"/>
  <c r="K143" i="11"/>
  <c r="AK143" i="11" s="1"/>
  <c r="Y143" i="11"/>
  <c r="K180" i="11"/>
  <c r="Y180" i="11"/>
  <c r="K185" i="11"/>
  <c r="AK185" i="11" s="1"/>
  <c r="Y185" i="11"/>
  <c r="K138" i="11"/>
  <c r="M138" i="11" s="1"/>
  <c r="P138" i="11" s="1"/>
  <c r="Q138" i="11" s="1"/>
  <c r="R138" i="11" s="1"/>
  <c r="S138" i="11" s="1"/>
  <c r="T138" i="11" s="1"/>
  <c r="Y138" i="11"/>
  <c r="K141" i="11"/>
  <c r="M141" i="11" s="1"/>
  <c r="Y141" i="11"/>
  <c r="K144" i="11"/>
  <c r="Y144" i="11"/>
  <c r="K182" i="11"/>
  <c r="M182" i="11" s="1"/>
  <c r="Y182" i="11"/>
  <c r="K179" i="11"/>
  <c r="Y179" i="11"/>
  <c r="K187" i="11"/>
  <c r="M187" i="11" s="1"/>
  <c r="P187" i="11" s="1"/>
  <c r="Q187" i="11" s="1"/>
  <c r="R187" i="11" s="1"/>
  <c r="S187" i="11" s="1"/>
  <c r="Y187" i="11"/>
  <c r="K138" i="16"/>
  <c r="M138" i="16" s="1"/>
  <c r="Y138" i="16"/>
  <c r="K142" i="11"/>
  <c r="M142" i="11" s="1"/>
  <c r="Y142" i="11"/>
  <c r="K139" i="11"/>
  <c r="Y139" i="11"/>
  <c r="K184" i="11"/>
  <c r="AK184" i="11" s="1"/>
  <c r="Y184" i="11"/>
  <c r="K181" i="11"/>
  <c r="M181" i="11" s="1"/>
  <c r="Y181" i="11"/>
  <c r="I150" i="16"/>
  <c r="BX110" i="16"/>
  <c r="K145" i="11"/>
  <c r="Y145" i="11"/>
  <c r="K146" i="11"/>
  <c r="AK146" i="11" s="1"/>
  <c r="Y146" i="11"/>
  <c r="K178" i="1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M145" i="11"/>
  <c r="AK145" i="11"/>
  <c r="AK178" i="11"/>
  <c r="M178" i="11"/>
  <c r="AK183" i="11"/>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AK147" i="11"/>
  <c r="M147" i="11"/>
  <c r="M180" i="11"/>
  <c r="AK180" i="11"/>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AK144" i="11"/>
  <c r="M144" i="11"/>
  <c r="AK179" i="11"/>
  <c r="M179" i="11"/>
  <c r="U98" i="11"/>
  <c r="CK98" i="11"/>
  <c r="Q98" i="11"/>
  <c r="CG98" i="11"/>
  <c r="AG103" i="11"/>
  <c r="K103" i="11"/>
  <c r="AG105" i="11"/>
  <c r="K105" i="11"/>
  <c r="AG100" i="11"/>
  <c r="K100" i="11"/>
  <c r="J139" i="17"/>
  <c r="Y139" i="17" s="1"/>
  <c r="K138" i="17"/>
  <c r="AK138" i="17" s="1"/>
  <c r="Q98" i="17"/>
  <c r="CG98" i="17"/>
  <c r="H180" i="11"/>
  <c r="H181" i="11"/>
  <c r="H178" i="11"/>
  <c r="CA109" i="17"/>
  <c r="BZ39" i="6" s="1"/>
  <c r="BQ40" i="6"/>
  <c r="U110" i="16"/>
  <c r="Q110" i="16"/>
  <c r="T110" i="16"/>
  <c r="S110" i="16"/>
  <c r="R110" i="16"/>
  <c r="Z190" i="16"/>
  <c r="L190" i="16"/>
  <c r="N102" i="16"/>
  <c r="L103" i="16"/>
  <c r="O99" i="16"/>
  <c r="Q98" i="16"/>
  <c r="CG98" i="16"/>
  <c r="R98" i="16"/>
  <c r="CH98" i="16"/>
  <c r="M99" i="16"/>
  <c r="K149" i="11"/>
  <c r="M149" i="11" s="1"/>
  <c r="G162" i="17"/>
  <c r="J123" i="16"/>
  <c r="AG122" i="16"/>
  <c r="AK142" i="11"/>
  <c r="AK139" i="11"/>
  <c r="M139" i="11"/>
  <c r="P139" i="11" s="1"/>
  <c r="Q139" i="11" s="1"/>
  <c r="M184" i="11"/>
  <c r="AK181" i="1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85" i="11" l="1"/>
  <c r="M143" i="11"/>
  <c r="AK140" i="11"/>
  <c r="M186" i="11"/>
  <c r="M146" i="11"/>
  <c r="AK187" i="11"/>
  <c r="AK182" i="11"/>
  <c r="AK141" i="11"/>
  <c r="U138" i="11"/>
  <c r="X138" i="11" s="1"/>
  <c r="AD138" i="11" s="1"/>
  <c r="I151" i="16"/>
  <c r="BX111" i="16"/>
  <c r="Y180" i="17"/>
  <c r="K180" i="17"/>
  <c r="K139" i="16"/>
  <c r="M139" i="16" s="1"/>
  <c r="Y139" i="16"/>
  <c r="K150" i="16"/>
  <c r="M150" i="16" s="1"/>
  <c r="Y150" i="16"/>
  <c r="AI106" i="16"/>
  <c r="B158" i="9" s="1"/>
  <c r="V98" i="1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P179" i="11"/>
  <c r="Q179" i="11" s="1"/>
  <c r="R179" i="11" s="1"/>
  <c r="S179" i="11" s="1"/>
  <c r="K190" i="17"/>
  <c r="M190" i="17" s="1"/>
  <c r="P180" i="11"/>
  <c r="Q180" i="11" s="1"/>
  <c r="R180" i="11" s="1"/>
  <c r="S180" i="11" s="1"/>
  <c r="P178" i="11"/>
  <c r="Q178" i="11" s="1"/>
  <c r="R178" i="11" s="1"/>
  <c r="S178" i="11" s="1"/>
  <c r="M178" i="16"/>
  <c r="P184" i="11"/>
  <c r="Q184" i="11" s="1"/>
  <c r="R184" i="11" s="1"/>
  <c r="S184" i="11" s="1"/>
  <c r="P185" i="11"/>
  <c r="Q185" i="11" s="1"/>
  <c r="R185" i="11" s="1"/>
  <c r="S185" i="11" s="1"/>
  <c r="P186" i="11"/>
  <c r="Q186" i="11" s="1"/>
  <c r="R186" i="11" s="1"/>
  <c r="S186" i="11" s="1"/>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B192" i="9"/>
  <c r="AI107" i="16"/>
  <c r="B159" i="9" s="1"/>
  <c r="R99" i="16"/>
  <c r="CH99" i="16"/>
  <c r="M100" i="16"/>
  <c r="V98" i="16"/>
  <c r="V110" i="16"/>
  <c r="M138" i="17"/>
  <c r="CL98" i="11"/>
  <c r="P143" i="11"/>
  <c r="Q143" i="11" s="1"/>
  <c r="K192" i="9"/>
  <c r="K226" i="9"/>
  <c r="P146" i="11"/>
  <c r="Q146" i="11" s="1"/>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BQ41" i="6"/>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P145" i="11"/>
  <c r="R99" i="17"/>
  <c r="CH99" i="17"/>
  <c r="CJ110" i="16"/>
  <c r="CI110" i="16"/>
  <c r="CH110" i="16"/>
  <c r="CK110" i="16"/>
  <c r="CG110" i="16"/>
  <c r="CA110" i="17"/>
  <c r="BZ40" i="6" s="1"/>
  <c r="T99" i="11"/>
  <c r="CJ99" i="11"/>
  <c r="Y98" i="11"/>
  <c r="Z98" i="11" s="1"/>
  <c r="AA98" i="11" s="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AK139" i="16"/>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M140" i="16" l="1"/>
  <c r="Y140" i="16"/>
  <c r="I152" i="16"/>
  <c r="H152" i="16" s="1"/>
  <c r="BX112" i="16"/>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K151" i="16"/>
  <c r="AG108" i="17"/>
  <c r="K108" i="17"/>
  <c r="T100" i="16"/>
  <c r="CJ100" i="16"/>
  <c r="O101" i="16"/>
  <c r="K151" i="17"/>
  <c r="AK151" i="17" s="1"/>
  <c r="V99" i="17"/>
  <c r="M150" i="17"/>
  <c r="AH98" i="16"/>
  <c r="Y98" i="16"/>
  <c r="Z98" i="16" s="1"/>
  <c r="AA98" i="16" s="1"/>
  <c r="AB98" i="16" s="1"/>
  <c r="B193" i="9"/>
  <c r="AI108" i="16"/>
  <c r="B160" i="9" s="1"/>
  <c r="V111" i="16"/>
  <c r="U100" i="11"/>
  <c r="CK100" i="11"/>
  <c r="T100" i="11"/>
  <c r="CJ100" i="11"/>
  <c r="BQ42" i="6"/>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W102" i="19"/>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Y99" i="11" l="1"/>
  <c r="K152" i="16"/>
  <c r="Y152" i="16"/>
  <c r="I153" i="16"/>
  <c r="H153" i="16" s="1"/>
  <c r="BX113" i="16"/>
  <c r="BQ43" i="6" s="1"/>
  <c r="K141" i="16"/>
  <c r="M141" i="16" s="1"/>
  <c r="Y141" i="16"/>
  <c r="M152"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H189" i="17"/>
  <c r="AL178" i="17"/>
  <c r="AM178" i="17"/>
  <c r="X178" i="17"/>
  <c r="M181" i="17"/>
  <c r="AK181" i="17"/>
  <c r="AB193" i="16"/>
  <c r="AU98" i="16"/>
  <c r="AW98" i="16"/>
  <c r="AS98" i="16"/>
  <c r="AY98" i="16"/>
  <c r="BA98" i="16"/>
  <c r="U179" i="17"/>
  <c r="T179" i="17"/>
  <c r="L193" i="17"/>
  <c r="AB193" i="17"/>
  <c r="AB153" i="17"/>
  <c r="V112" i="11"/>
  <c r="CL111" i="11"/>
  <c r="J183" i="17"/>
  <c r="Y183" i="17" s="1"/>
  <c r="K182" i="17"/>
  <c r="K266" i="9"/>
  <c r="V100" i="11"/>
  <c r="Y100" i="11" s="1"/>
  <c r="Z100" i="11" s="1"/>
  <c r="AA100" i="11" s="1"/>
  <c r="M151" i="17"/>
  <c r="CL111" i="16"/>
  <c r="R190" i="17"/>
  <c r="S190" i="17" s="1"/>
  <c r="T190" i="17" s="1"/>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Z99" i="11"/>
  <c r="AA99" i="11" s="1"/>
  <c r="AB99" i="11" s="1"/>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AJ98" i="16"/>
  <c r="AK98" i="16" s="1"/>
  <c r="AF98"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AK141"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L145" i="11" l="1"/>
  <c r="AJ110" i="17"/>
  <c r="AL110" i="17"/>
  <c r="BA110" i="17"/>
  <c r="AX110" i="17"/>
  <c r="AV110" i="17"/>
  <c r="AT110" i="17"/>
  <c r="AZ110" i="17"/>
  <c r="AW110" i="17"/>
  <c r="BB110" i="17"/>
  <c r="AU110" i="17"/>
  <c r="AY110" i="17"/>
  <c r="AR110" i="17"/>
  <c r="K142" i="16"/>
  <c r="M142" i="16" s="1"/>
  <c r="Y142" i="16"/>
  <c r="K153" i="16"/>
  <c r="M153" i="16" s="1"/>
  <c r="Y153" i="16"/>
  <c r="I154" i="16"/>
  <c r="BX114" i="16"/>
  <c r="AE139" i="11"/>
  <c r="V139" i="11"/>
  <c r="V101" i="11"/>
  <c r="Y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AH101" i="11" s="1"/>
  <c r="M152" i="11"/>
  <c r="AC146" i="11"/>
  <c r="AH146" i="11" s="1"/>
  <c r="AC145" i="11"/>
  <c r="AI145" i="11" s="1"/>
  <c r="AM145" i="11"/>
  <c r="X95" i="3" s="1"/>
  <c r="AC147" i="11"/>
  <c r="AL147" i="11"/>
  <c r="AN147" i="11" s="1"/>
  <c r="AO147" i="11" s="1"/>
  <c r="AM147" i="11"/>
  <c r="X97" i="3" s="1"/>
  <c r="AN98" i="16"/>
  <c r="AL198" i="7"/>
  <c r="Y112" i="11"/>
  <c r="Z112" i="11" s="1"/>
  <c r="M152" i="17"/>
  <c r="U190" i="17"/>
  <c r="AL190" i="17" s="1"/>
  <c r="AC144" i="11"/>
  <c r="AC140" i="11"/>
  <c r="AG140" i="11" s="1"/>
  <c r="AN184" i="11"/>
  <c r="AO184" i="11" s="1"/>
  <c r="AN179" i="11"/>
  <c r="AO179" i="11" s="1"/>
  <c r="V113" i="11"/>
  <c r="AB154" i="16"/>
  <c r="H154" i="16"/>
  <c r="L154" i="16"/>
  <c r="AO198" i="7"/>
  <c r="AV99" i="11"/>
  <c r="AY99" i="11"/>
  <c r="AC142" i="11"/>
  <c r="P151" i="17"/>
  <c r="Q151" i="17" s="1"/>
  <c r="AN178" i="17"/>
  <c r="AO178" i="17" s="1"/>
  <c r="T180" i="17"/>
  <c r="BB110" i="11"/>
  <c r="AB194" i="17"/>
  <c r="L194" i="17"/>
  <c r="AC148" i="11"/>
  <c r="K267" i="9"/>
  <c r="AS111" i="17"/>
  <c r="AC143" i="11"/>
  <c r="V143" i="11" s="1"/>
  <c r="W143" i="11" s="1"/>
  <c r="R190" i="16"/>
  <c r="S190" i="16" s="1"/>
  <c r="T190" i="16" s="1"/>
  <c r="M182" i="17"/>
  <c r="AK182" i="17"/>
  <c r="P181" i="17"/>
  <c r="Q181" i="17" s="1"/>
  <c r="R181" i="17" s="1"/>
  <c r="S181" i="17" s="1"/>
  <c r="AB194" i="16"/>
  <c r="V113" i="17"/>
  <c r="Y113" i="17" s="1"/>
  <c r="AB154" i="17"/>
  <c r="AW99" i="16"/>
  <c r="AZ99" i="16"/>
  <c r="AY99" i="16"/>
  <c r="BA99" i="16"/>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K142"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52" i="11"/>
  <c r="Q152" i="11"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AH148"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V144" i="11"/>
  <c r="W144" i="11" s="1"/>
  <c r="AF144" i="11"/>
  <c r="BW44" i="6"/>
  <c r="I154" i="17"/>
  <c r="Y154" i="17" s="1"/>
  <c r="Z154" i="16"/>
  <c r="Q102" i="11"/>
  <c r="CG102" i="11"/>
  <c r="R103" i="17"/>
  <c r="CH103" i="17"/>
  <c r="AB194" i="11"/>
  <c r="L194" i="11"/>
  <c r="Z194" i="11"/>
  <c r="F154" i="17"/>
  <c r="F154" i="16"/>
  <c r="F194" i="16"/>
  <c r="F194" i="11"/>
  <c r="F194" i="17"/>
  <c r="F154" i="11"/>
  <c r="S102" i="11"/>
  <c r="CI102" i="11"/>
  <c r="AC187" i="11"/>
  <c r="V147" i="11"/>
  <c r="W147" i="11" s="1"/>
  <c r="AF147" i="11"/>
  <c r="AL146" i="11"/>
  <c r="AM146" i="11"/>
  <c r="X96" i="3" s="1"/>
  <c r="K233" i="9"/>
  <c r="K199" i="9"/>
  <c r="K97" i="9"/>
  <c r="AC179" i="11"/>
  <c r="G151" i="17"/>
  <c r="V142" i="11"/>
  <c r="W142" i="11" s="1"/>
  <c r="AH142" i="11"/>
  <c r="AI142" i="11"/>
  <c r="AG142" i="11"/>
  <c r="AF142" i="11"/>
  <c r="AC182" i="11"/>
  <c r="J143" i="17"/>
  <c r="Y143" i="17" s="1"/>
  <c r="K142" i="17"/>
  <c r="AK142" i="17" s="1"/>
  <c r="AC186" i="11"/>
  <c r="AH100" i="17"/>
  <c r="Y100" i="17"/>
  <c r="G166" i="17"/>
  <c r="K165" i="9"/>
  <c r="K192" i="16"/>
  <c r="AK192" i="16" s="1"/>
  <c r="AI110" i="11"/>
  <c r="B93" i="9"/>
  <c r="B127" i="9"/>
  <c r="Z99" i="17"/>
  <c r="AA99" i="17" s="1"/>
  <c r="V101" i="16"/>
  <c r="CH113" i="11"/>
  <c r="CI113" i="11"/>
  <c r="Y113" i="11"/>
  <c r="Z113" i="11" s="1"/>
  <c r="CJ113" i="11"/>
  <c r="CG113" i="11"/>
  <c r="CK113" i="11"/>
  <c r="Z101" i="11"/>
  <c r="AA101" i="11" s="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AK153"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W139" i="11"/>
  <c r="AI139" i="11"/>
  <c r="AH139" i="11"/>
  <c r="AG139" i="11"/>
  <c r="AF139" i="11"/>
  <c r="AN181" i="11"/>
  <c r="AO181" i="11" s="1"/>
  <c r="P151" i="11"/>
  <c r="Q151" i="11" s="1"/>
  <c r="AN187" i="11"/>
  <c r="AO187" i="11" s="1"/>
  <c r="CL101" i="17"/>
  <c r="CL114" i="17"/>
  <c r="G151" i="16"/>
  <c r="H151" i="16" s="1"/>
  <c r="G164" i="16"/>
  <c r="H151" i="17"/>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J111" i="17" l="1"/>
  <c r="AL111" i="17"/>
  <c r="AZ111" i="17"/>
  <c r="AE143" i="11"/>
  <c r="AG143" i="11"/>
  <c r="AT111" i="17"/>
  <c r="AX111" i="17"/>
  <c r="AI143" i="11"/>
  <c r="AY111" i="17"/>
  <c r="AZ99" i="11"/>
  <c r="AL99" i="11"/>
  <c r="AS99" i="11"/>
  <c r="AJ99" i="11"/>
  <c r="AK99" i="11" s="1"/>
  <c r="AR99" i="11"/>
  <c r="AH143" i="11"/>
  <c r="AI140" i="11"/>
  <c r="AF143" i="11"/>
  <c r="AR99" i="16"/>
  <c r="AV99" i="16"/>
  <c r="U190" i="16"/>
  <c r="T150" i="16"/>
  <c r="AW111" i="17"/>
  <c r="BC110" i="17"/>
  <c r="BG110" i="17" s="1"/>
  <c r="K143" i="16"/>
  <c r="M143" i="16" s="1"/>
  <c r="Y143" i="16"/>
  <c r="I155" i="16"/>
  <c r="H155" i="16" s="1"/>
  <c r="BX115" i="16"/>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C100" i="16"/>
  <c r="AH145" i="11"/>
  <c r="AB99" i="17"/>
  <c r="AD111" i="16"/>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E89" i="8"/>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BH98" i="16"/>
  <c r="AN179" i="17"/>
  <c r="AO179" i="17" s="1"/>
  <c r="J185" i="17"/>
  <c r="Y185" i="17" s="1"/>
  <c r="K184" i="17"/>
  <c r="AI141" i="11"/>
  <c r="V141" i="11"/>
  <c r="W141" i="11" s="1"/>
  <c r="AH141" i="11"/>
  <c r="AG141" i="11"/>
  <c r="AF141" i="11"/>
  <c r="P182" i="17"/>
  <c r="Q182" i="17" s="1"/>
  <c r="R182" i="17" s="1"/>
  <c r="S182" i="17" s="1"/>
  <c r="AE141" i="11"/>
  <c r="AY112" i="16"/>
  <c r="T181" i="17"/>
  <c r="U181" i="17"/>
  <c r="AM180" i="17"/>
  <c r="AL180" i="17"/>
  <c r="L155" i="16"/>
  <c r="AB155" i="16"/>
  <c r="AB195" i="16"/>
  <c r="BF98" i="16"/>
  <c r="K268" i="9"/>
  <c r="AD179" i="17"/>
  <c r="AC179" i="17"/>
  <c r="R151" i="16"/>
  <c r="S151" i="16" s="1"/>
  <c r="R151" i="17"/>
  <c r="S151" i="17" s="1"/>
  <c r="AY111" i="16"/>
  <c r="AW111" i="16"/>
  <c r="AT111" i="16"/>
  <c r="BB111" i="16"/>
  <c r="AZ111" i="16"/>
  <c r="BA111" i="16"/>
  <c r="AV111" i="16"/>
  <c r="AX111" i="16"/>
  <c r="AU111" i="16"/>
  <c r="AR111" i="16"/>
  <c r="AS111" i="16"/>
  <c r="AX100" i="16"/>
  <c r="AV100" i="16"/>
  <c r="AS100" i="16"/>
  <c r="AU100" i="16"/>
  <c r="AR100" i="16"/>
  <c r="AW100" i="16"/>
  <c r="AT100" i="16"/>
  <c r="AZ100" i="16"/>
  <c r="BB100" i="16"/>
  <c r="AY100" i="16"/>
  <c r="BA100" i="16"/>
  <c r="V114" i="16"/>
  <c r="AN138" i="16"/>
  <c r="AO138" i="16" s="1"/>
  <c r="AE178" i="17"/>
  <c r="V178" i="17"/>
  <c r="W178" i="17" s="1"/>
  <c r="AG178" i="17"/>
  <c r="AI178" i="17"/>
  <c r="AH178" i="17"/>
  <c r="AF178" i="17"/>
  <c r="CE102" i="11"/>
  <c r="CE32" i="6" s="1"/>
  <c r="P192" i="11"/>
  <c r="Q192" i="11" s="1"/>
  <c r="H194" i="16"/>
  <c r="P192" i="17"/>
  <c r="Q192" i="17" s="1"/>
  <c r="R192" i="17" s="1"/>
  <c r="S192" i="17" s="1"/>
  <c r="H194" i="17"/>
  <c r="K194" i="17"/>
  <c r="CC99" i="11"/>
  <c r="CC29" i="6" s="1"/>
  <c r="CC100" i="11"/>
  <c r="CC30" i="6" s="1"/>
  <c r="CC107" i="11"/>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X190" i="16"/>
  <c r="AL190" i="16"/>
  <c r="AM190" i="16"/>
  <c r="AE185" i="11"/>
  <c r="AN189" i="11"/>
  <c r="AO189" i="11" s="1"/>
  <c r="AE186" i="11"/>
  <c r="AE182" i="11"/>
  <c r="AE181" i="11"/>
  <c r="V181" i="11"/>
  <c r="W181" i="11" s="1"/>
  <c r="AE184" i="11"/>
  <c r="V184" i="11"/>
  <c r="W184" i="11" s="1"/>
  <c r="U150" i="11"/>
  <c r="X150" i="11" s="1"/>
  <c r="AD150" i="11" s="1"/>
  <c r="AN148" i="11"/>
  <c r="AO148" i="11" s="1"/>
  <c r="AN140" i="11"/>
  <c r="AO140" i="11" s="1"/>
  <c r="AJ138" i="11"/>
  <c r="AJ142" i="11"/>
  <c r="AN138" i="11"/>
  <c r="AO138" i="11" s="1"/>
  <c r="AN143" i="11"/>
  <c r="AO143" i="11" s="1"/>
  <c r="AJ139" i="11"/>
  <c r="AP99" i="16"/>
  <c r="K132" i="9"/>
  <c r="P153" i="11"/>
  <c r="Q153" i="11" s="1"/>
  <c r="S104" i="11"/>
  <c r="CI104" i="11"/>
  <c r="BQ45" i="6"/>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L112" i="16"/>
  <c r="AQ98" i="16"/>
  <c r="T103" i="16"/>
  <c r="CJ103" i="16"/>
  <c r="O104" i="16"/>
  <c r="J128" i="16"/>
  <c r="AG127" i="16"/>
  <c r="V114" i="17"/>
  <c r="AI111" i="11"/>
  <c r="B128" i="9"/>
  <c r="B94" i="9"/>
  <c r="M142" i="17"/>
  <c r="BF110"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AJ100" i="16"/>
  <c r="AK100" i="16" s="1"/>
  <c r="AF100" i="16" s="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L100" i="16"/>
  <c r="AE149" i="11"/>
  <c r="V149" i="11"/>
  <c r="W149" i="11" s="1"/>
  <c r="AH149" i="11"/>
  <c r="AG149" i="11"/>
  <c r="AI149" i="11"/>
  <c r="AF149" i="11"/>
  <c r="AN142" i="11"/>
  <c r="AO142" i="11" s="1"/>
  <c r="J144" i="16"/>
  <c r="AK143"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L111" i="16"/>
  <c r="AJ111"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BK110" i="17"/>
  <c r="BD110" i="17"/>
  <c r="CL115" i="17"/>
  <c r="AH101" i="16"/>
  <c r="CM101" i="16" s="1"/>
  <c r="Y101" i="16"/>
  <c r="G167" i="17"/>
  <c r="G168" i="17" s="1"/>
  <c r="CM100" i="17"/>
  <c r="AH182" i="11"/>
  <c r="AI182" i="11"/>
  <c r="AG182" i="11"/>
  <c r="AF182" i="11"/>
  <c r="BI110" i="17"/>
  <c r="CL102" i="11"/>
  <c r="K154" i="17"/>
  <c r="M154" i="17" s="1"/>
  <c r="AK192" i="11"/>
  <c r="B264" i="9"/>
  <c r="B230" i="9"/>
  <c r="AI111" i="17"/>
  <c r="B196" i="9"/>
  <c r="AI111" i="16"/>
  <c r="B163" i="9" s="1"/>
  <c r="BK98" i="16"/>
  <c r="AN141" i="11"/>
  <c r="AO141" i="11" s="1"/>
  <c r="AE183" i="11"/>
  <c r="AN188" i="11"/>
  <c r="AO188" i="11" s="1"/>
  <c r="CL102" i="16"/>
  <c r="AN144" i="11"/>
  <c r="AO144" i="11" s="1"/>
  <c r="AE180" i="11"/>
  <c r="P104" i="17"/>
  <c r="U103" i="17"/>
  <c r="CK103" i="17"/>
  <c r="Q107" i="16"/>
  <c r="CG107" i="16"/>
  <c r="L108" i="16"/>
  <c r="BJ110" i="17"/>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AJ143" i="11" l="1"/>
  <c r="AJ140" i="11"/>
  <c r="T152" i="17"/>
  <c r="AM99" i="16"/>
  <c r="AL191" i="17"/>
  <c r="CC98" i="11"/>
  <c r="CC28" i="6" s="1"/>
  <c r="CE106" i="11"/>
  <c r="BD98" i="16"/>
  <c r="BE98" i="16"/>
  <c r="BJ98" i="16"/>
  <c r="BI98" i="16"/>
  <c r="BL98" i="16" s="1"/>
  <c r="AO99" i="16"/>
  <c r="BE110" i="17"/>
  <c r="K144" i="16"/>
  <c r="M144" i="16" s="1"/>
  <c r="Y144" i="16"/>
  <c r="K155" i="16"/>
  <c r="M155" i="16" s="1"/>
  <c r="Y155" i="16"/>
  <c r="BV99" i="11"/>
  <c r="AJ145" i="11"/>
  <c r="I156" i="16"/>
  <c r="BX116" i="16"/>
  <c r="BY99" i="11"/>
  <c r="BL29" i="6" s="1"/>
  <c r="BW98" i="11"/>
  <c r="BJ28" i="6" s="1"/>
  <c r="CC105" i="11"/>
  <c r="CC103" i="11"/>
  <c r="AE139" i="16"/>
  <c r="BW99" i="16" s="1"/>
  <c r="BV99" i="16"/>
  <c r="AE138" i="17"/>
  <c r="AD190" i="17"/>
  <c r="X191" i="17"/>
  <c r="AD191" i="17" s="1"/>
  <c r="V188" i="11"/>
  <c r="W188" i="11" s="1"/>
  <c r="CE108" i="11" s="1"/>
  <c r="V189" i="11"/>
  <c r="W18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I123" i="8"/>
  <c r="D123" i="8"/>
  <c r="F123" i="8"/>
  <c r="H123" i="8"/>
  <c r="AN180" i="17"/>
  <c r="AO180" i="17" s="1"/>
  <c r="AN139" i="16"/>
  <c r="AO139" i="16" s="1"/>
  <c r="AN150" i="17"/>
  <c r="AO150" i="17" s="1"/>
  <c r="AN139" i="17"/>
  <c r="AO139" i="17" s="1"/>
  <c r="AB156" i="16"/>
  <c r="L156" i="16"/>
  <c r="H156" i="16"/>
  <c r="M154" i="11"/>
  <c r="AU100" i="17"/>
  <c r="AD180" i="17"/>
  <c r="U182" i="17"/>
  <c r="T182" i="17"/>
  <c r="AK184" i="17"/>
  <c r="M184" i="17"/>
  <c r="AB196" i="16"/>
  <c r="K269" i="9"/>
  <c r="CD98" i="11"/>
  <c r="CD28" i="6" s="1"/>
  <c r="CB98" i="11"/>
  <c r="CB28" i="6" s="1"/>
  <c r="V115" i="11"/>
  <c r="CC98" i="17"/>
  <c r="CE98" i="17"/>
  <c r="CM28" i="6" s="1"/>
  <c r="AE179" i="17"/>
  <c r="AG179" i="17"/>
  <c r="AH179" i="17"/>
  <c r="AI179" i="17"/>
  <c r="V179" i="17"/>
  <c r="W179" i="17" s="1"/>
  <c r="AF179" i="17"/>
  <c r="J186" i="17"/>
  <c r="Y186" i="17" s="1"/>
  <c r="K185" i="17"/>
  <c r="AV113" i="17"/>
  <c r="AS113" i="17"/>
  <c r="AY113" i="17"/>
  <c r="BB113" i="17"/>
  <c r="AJ178" i="17"/>
  <c r="AB196" i="17"/>
  <c r="L196" i="17"/>
  <c r="AB156" i="17"/>
  <c r="BL110" i="17"/>
  <c r="U151" i="17"/>
  <c r="T151" i="17"/>
  <c r="BA41" i="6" s="1"/>
  <c r="U151" i="16"/>
  <c r="T151" i="16"/>
  <c r="AO41" i="6" s="1"/>
  <c r="X181" i="17"/>
  <c r="AM181" i="17"/>
  <c r="AL181" i="17"/>
  <c r="P183" i="17"/>
  <c r="Q183" i="17" s="1"/>
  <c r="R183" i="17" s="1"/>
  <c r="S183" i="17" s="1"/>
  <c r="AN190" i="16"/>
  <c r="AO190" i="16" s="1"/>
  <c r="AK194" i="17"/>
  <c r="M194" i="17"/>
  <c r="CE104" i="11"/>
  <c r="CC104" i="11"/>
  <c r="U192" i="17"/>
  <c r="T192" i="17"/>
  <c r="H195" i="16"/>
  <c r="P193" i="11"/>
  <c r="Q193" i="11" s="1"/>
  <c r="AN179" i="16"/>
  <c r="AO179" i="16" s="1"/>
  <c r="T193" i="17"/>
  <c r="U193" i="17"/>
  <c r="AN191" i="17"/>
  <c r="H195" i="17"/>
  <c r="K195" i="17"/>
  <c r="M195" i="17" s="1"/>
  <c r="CE110" i="11"/>
  <c r="CE109" i="11"/>
  <c r="CC109" i="11"/>
  <c r="CE101" i="11"/>
  <c r="CE31" i="6" s="1"/>
  <c r="CC101" i="11"/>
  <c r="CC31" i="6" s="1"/>
  <c r="AH190" i="17"/>
  <c r="AG190" i="17"/>
  <c r="AI190" i="17"/>
  <c r="V190" i="17"/>
  <c r="W190" i="17" s="1"/>
  <c r="AF190" i="17"/>
  <c r="BJ99" i="16"/>
  <c r="BG99" i="16"/>
  <c r="BH99" i="16"/>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90" i="16"/>
  <c r="AC190" i="16"/>
  <c r="AD179" i="16"/>
  <c r="AC179" i="16"/>
  <c r="AE178" i="16"/>
  <c r="AG178" i="16"/>
  <c r="AH178" i="16"/>
  <c r="AI178" i="16"/>
  <c r="V178" i="16"/>
  <c r="W178" i="16" s="1"/>
  <c r="AF178" i="16"/>
  <c r="P182" i="16"/>
  <c r="Q182" i="16" s="1"/>
  <c r="R182" i="16" s="1"/>
  <c r="S182" i="16" s="1"/>
  <c r="M183" i="16"/>
  <c r="X180" i="16"/>
  <c r="AM180" i="16"/>
  <c r="AL180" i="16"/>
  <c r="X191" i="16"/>
  <c r="AL191" i="16"/>
  <c r="AM191" i="16"/>
  <c r="M193" i="16"/>
  <c r="P192" i="16"/>
  <c r="Q192" i="16" s="1"/>
  <c r="R192" i="16" s="1"/>
  <c r="S192" i="16" s="1"/>
  <c r="AJ182" i="11"/>
  <c r="AE189" i="11"/>
  <c r="AJ184" i="11"/>
  <c r="AJ181" i="11"/>
  <c r="AJ185" i="11"/>
  <c r="AJ186" i="11"/>
  <c r="AJ178" i="11"/>
  <c r="K133" i="9"/>
  <c r="K167" i="9"/>
  <c r="AE123" i="8"/>
  <c r="AF123" i="8"/>
  <c r="I156" i="11"/>
  <c r="Y156" i="11" s="1"/>
  <c r="BK46" i="6"/>
  <c r="Q108" i="16"/>
  <c r="L109" i="16"/>
  <c r="CG108" i="16"/>
  <c r="AC150" i="11"/>
  <c r="J185" i="16"/>
  <c r="Y185" i="16" s="1"/>
  <c r="K184" i="16"/>
  <c r="AK184" i="16" s="1"/>
  <c r="S105" i="11"/>
  <c r="CI105" i="11"/>
  <c r="T104" i="11"/>
  <c r="CJ104" i="11"/>
  <c r="CA115" i="17"/>
  <c r="BZ45" i="6" s="1"/>
  <c r="R104" i="11"/>
  <c r="CH104" i="11"/>
  <c r="AJ113" i="17"/>
  <c r="AJ180" i="11"/>
  <c r="AJ183" i="11"/>
  <c r="G169" i="17"/>
  <c r="G170" i="17" s="1"/>
  <c r="CL103" i="17"/>
  <c r="C90" i="18"/>
  <c r="AE100" i="16"/>
  <c r="AM100" i="16"/>
  <c r="AO100" i="16"/>
  <c r="BC111" i="16"/>
  <c r="BE111" i="16" s="1"/>
  <c r="AL150" i="11"/>
  <c r="AM150" i="11"/>
  <c r="X100" i="3" s="1"/>
  <c r="BZ98" i="11"/>
  <c r="BM28" i="6" s="1"/>
  <c r="K155" i="11"/>
  <c r="AK155" i="11" s="1"/>
  <c r="AJ149" i="11"/>
  <c r="K166" i="9"/>
  <c r="CL114" i="11"/>
  <c r="U108" i="16"/>
  <c r="P109" i="16"/>
  <c r="CK108" i="16"/>
  <c r="Y114" i="16"/>
  <c r="S104" i="17"/>
  <c r="CI104" i="17"/>
  <c r="B197" i="9"/>
  <c r="AI112" i="16"/>
  <c r="B164" i="9" s="1"/>
  <c r="BK111" i="17"/>
  <c r="BD111" i="17"/>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BQ46" i="6"/>
  <c r="L196" i="16"/>
  <c r="Z196" i="16"/>
  <c r="CJ115" i="11"/>
  <c r="CG115" i="11"/>
  <c r="CK115" i="11"/>
  <c r="Y115" i="11"/>
  <c r="Z115" i="11" s="1"/>
  <c r="CH115" i="11"/>
  <c r="CI115" i="11"/>
  <c r="CA115" i="16"/>
  <c r="BT45" i="6" s="1"/>
  <c r="F156" i="17"/>
  <c r="F156" i="16"/>
  <c r="F196" i="16"/>
  <c r="F156" i="11"/>
  <c r="F196" i="17"/>
  <c r="F196" i="11"/>
  <c r="C89" i="3"/>
  <c r="BI29" i="6"/>
  <c r="AE99" i="11"/>
  <c r="K98" i="9"/>
  <c r="BF111" i="17"/>
  <c r="Z101" i="16"/>
  <c r="AA101" i="16" s="1"/>
  <c r="AB101" i="16" s="1"/>
  <c r="V103" i="17"/>
  <c r="AN100" i="16"/>
  <c r="X100" i="19"/>
  <c r="R104" i="16"/>
  <c r="CH104" i="16"/>
  <c r="M105" i="16"/>
  <c r="AH102" i="17"/>
  <c r="CM102" i="17" s="1"/>
  <c r="Y102" i="17"/>
  <c r="S107" i="16"/>
  <c r="CI107" i="16"/>
  <c r="N108" i="16"/>
  <c r="BE111" i="17"/>
  <c r="CL103" i="11"/>
  <c r="J145" i="16"/>
  <c r="AK144" i="16"/>
  <c r="AJ179" i="11"/>
  <c r="BI111" i="17"/>
  <c r="Y114" i="11"/>
  <c r="Z114" i="11" s="1"/>
  <c r="K194" i="16"/>
  <c r="AK194" i="16" s="1"/>
  <c r="BG111" i="17"/>
  <c r="Y114" i="17"/>
  <c r="BI99" i="16"/>
  <c r="BD99" i="16"/>
  <c r="BK99" i="16"/>
  <c r="M155" i="11"/>
  <c r="P155" i="11" s="1"/>
  <c r="Q155" i="11" s="1"/>
  <c r="CL116" i="17"/>
  <c r="AQ99" i="16"/>
  <c r="AI112" i="11"/>
  <c r="B129" i="9"/>
  <c r="B95" i="9"/>
  <c r="BF99" i="16"/>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BH111" i="17"/>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L113" i="17"/>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BC100" i="16"/>
  <c r="BE100" i="16" s="1"/>
  <c r="AP100" i="16"/>
  <c r="Y102" i="16"/>
  <c r="AH102" i="16"/>
  <c r="J129" i="16"/>
  <c r="AG128" i="16"/>
  <c r="T104" i="16"/>
  <c r="CJ104" i="16"/>
  <c r="O105" i="16"/>
  <c r="CL114" i="16"/>
  <c r="H155" i="17"/>
  <c r="V115" i="17"/>
  <c r="CD99" i="16"/>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S123" i="8"/>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E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V203" i="7"/>
  <c r="AB201" i="7"/>
  <c r="AH200" i="7"/>
  <c r="O201" i="7"/>
  <c r="M201" i="7"/>
  <c r="AE200" i="7"/>
  <c r="AL201" i="7"/>
  <c r="S202" i="7"/>
  <c r="AO201" i="7"/>
  <c r="U202" i="7"/>
  <c r="J88" i="18"/>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W113" i="17" l="1"/>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AE98" i="17"/>
  <c r="CB98" i="17" s="1"/>
  <c r="CJ28" i="6" s="1"/>
  <c r="AF98" i="17"/>
  <c r="C88" i="19"/>
  <c r="AC191" i="17"/>
  <c r="AE191" i="17" s="1"/>
  <c r="AO191" i="17"/>
  <c r="BV100" i="11"/>
  <c r="BI30" i="6" s="1"/>
  <c r="BY100" i="11"/>
  <c r="K145" i="16"/>
  <c r="M145" i="16" s="1"/>
  <c r="Y145" i="16"/>
  <c r="H156" i="17"/>
  <c r="Y156" i="17"/>
  <c r="BV98" i="17"/>
  <c r="BW99" i="11"/>
  <c r="BJ29" i="6" s="1"/>
  <c r="I157" i="16"/>
  <c r="BX117" i="16"/>
  <c r="BW98" i="17"/>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BG111" i="16"/>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T100" i="17"/>
  <c r="BA100" i="17"/>
  <c r="BG110" i="16"/>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BF111" i="16"/>
  <c r="P154" i="11"/>
  <c r="Q154" i="11" s="1"/>
  <c r="D157" i="8"/>
  <c r="D88" i="19"/>
  <c r="BI111" i="16"/>
  <c r="BJ111" i="16"/>
  <c r="AN140" i="17"/>
  <c r="AO140" i="17" s="1"/>
  <c r="AB157" i="17"/>
  <c r="AV101" i="16"/>
  <c r="AS101" i="16"/>
  <c r="AY101" i="16"/>
  <c r="V116" i="11"/>
  <c r="CC99" i="17"/>
  <c r="CE99" i="17"/>
  <c r="CM29" i="6" s="1"/>
  <c r="AJ179" i="17"/>
  <c r="P184" i="17"/>
  <c r="Q184" i="17" s="1"/>
  <c r="R184" i="17" s="1"/>
  <c r="S184" i="17" s="1"/>
  <c r="Z156" i="16"/>
  <c r="AB197" i="16"/>
  <c r="AJ138" i="17"/>
  <c r="AD181" i="17"/>
  <c r="AC181" i="17"/>
  <c r="AL151" i="17"/>
  <c r="AM151" i="17"/>
  <c r="X101" i="19" s="1"/>
  <c r="X151" i="17"/>
  <c r="M185" i="17"/>
  <c r="AK185" i="17"/>
  <c r="H157" i="16"/>
  <c r="AB157" i="16"/>
  <c r="L157" i="16"/>
  <c r="CD99" i="1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N191" i="16"/>
  <c r="AO191" i="16" s="1"/>
  <c r="AL192" i="17"/>
  <c r="X192" i="17"/>
  <c r="AM192" i="17"/>
  <c r="AH191" i="17"/>
  <c r="V191" i="17"/>
  <c r="W191" i="17" s="1"/>
  <c r="CC110" i="17"/>
  <c r="CE110" i="17"/>
  <c r="CM40" i="6" s="1"/>
  <c r="P195" i="17"/>
  <c r="Q195" i="17" s="1"/>
  <c r="R195" i="17" s="1"/>
  <c r="S195" i="17" s="1"/>
  <c r="P194" i="17"/>
  <c r="Q194" i="17" s="1"/>
  <c r="R194" i="17" s="1"/>
  <c r="S194" i="17" s="1"/>
  <c r="CC98" i="16"/>
  <c r="CE98" i="16"/>
  <c r="BG112" i="16"/>
  <c r="BL99"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BW100" i="16" s="1"/>
  <c r="AN140" i="16"/>
  <c r="AO140" i="16" s="1"/>
  <c r="AD180" i="16"/>
  <c r="AC180" i="16"/>
  <c r="AH190" i="16"/>
  <c r="AG190" i="16"/>
  <c r="AI190" i="16"/>
  <c r="V190" i="16"/>
  <c r="W190" i="16" s="1"/>
  <c r="AF19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E190" i="16"/>
  <c r="AJ189" i="11"/>
  <c r="K168" i="9"/>
  <c r="K236" i="9"/>
  <c r="K202" i="9"/>
  <c r="K134" i="9"/>
  <c r="K100" i="9"/>
  <c r="C91" i="19"/>
  <c r="AE101" i="17"/>
  <c r="AM101" i="17"/>
  <c r="AO101" i="17"/>
  <c r="AN101" i="17"/>
  <c r="Q105" i="11"/>
  <c r="CG105" i="11"/>
  <c r="R106" i="17"/>
  <c r="CH106" i="17"/>
  <c r="U105" i="11"/>
  <c r="CK105" i="11"/>
  <c r="T105" i="11"/>
  <c r="CJ105" i="11"/>
  <c r="S105" i="17"/>
  <c r="CI105" i="17"/>
  <c r="CA116" i="16"/>
  <c r="BT46" i="6" s="1"/>
  <c r="CI116" i="11"/>
  <c r="CJ116" i="11"/>
  <c r="CG116" i="11"/>
  <c r="CK116" i="11"/>
  <c r="CH116" i="11"/>
  <c r="Z157" i="16"/>
  <c r="AB197" i="11"/>
  <c r="L197" i="11"/>
  <c r="Z197" i="11"/>
  <c r="BD100" i="16"/>
  <c r="BK100" i="16"/>
  <c r="M144" i="17"/>
  <c r="AK194" i="11"/>
  <c r="V116" i="16"/>
  <c r="V104" i="17"/>
  <c r="BF100" i="16"/>
  <c r="AJ190" i="11"/>
  <c r="BH100" i="16"/>
  <c r="R105" i="16"/>
  <c r="CH105" i="16"/>
  <c r="M106" i="16"/>
  <c r="K156" i="17"/>
  <c r="AK156" i="17" s="1"/>
  <c r="CL117" i="17"/>
  <c r="BF112" i="16"/>
  <c r="J123" i="8"/>
  <c r="T105" i="17"/>
  <c r="CJ105" i="17"/>
  <c r="CA116" i="17"/>
  <c r="BZ46" i="6" s="1"/>
  <c r="I157" i="11"/>
  <c r="Y157" i="11" s="1"/>
  <c r="BK47" i="6"/>
  <c r="BQ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BI100" i="16"/>
  <c r="AP101" i="17"/>
  <c r="BL111" i="17"/>
  <c r="CL104" i="16"/>
  <c r="CL115" i="11"/>
  <c r="CL115" i="16"/>
  <c r="BJ100" i="16"/>
  <c r="BH111" i="16"/>
  <c r="BD111" i="16"/>
  <c r="BK111" i="16"/>
  <c r="CB100" i="16"/>
  <c r="CD100" i="16"/>
  <c r="J186" i="16"/>
  <c r="Y186" i="16" s="1"/>
  <c r="K185" i="16"/>
  <c r="AK185" i="16" s="1"/>
  <c r="AH103" i="11"/>
  <c r="AH104" i="11" s="1"/>
  <c r="K156" i="11"/>
  <c r="AK156" i="11" s="1"/>
  <c r="L157" i="11"/>
  <c r="AB157" i="11"/>
  <c r="Z157" i="11"/>
  <c r="AI47" i="6" s="1"/>
  <c r="Z157" i="17"/>
  <c r="L157" i="17"/>
  <c r="AH103" i="16"/>
  <c r="Y103" i="16"/>
  <c r="K195" i="11"/>
  <c r="M195" i="11" s="1"/>
  <c r="V116" i="17"/>
  <c r="BG100" i="16"/>
  <c r="J146" i="16"/>
  <c r="AK145" i="16"/>
  <c r="Z102" i="17"/>
  <c r="AA102" i="17" s="1"/>
  <c r="AB102" i="17" s="1"/>
  <c r="V104" i="16"/>
  <c r="AH103" i="17"/>
  <c r="CM103" i="17" s="1"/>
  <c r="Y103" i="17"/>
  <c r="K195" i="16"/>
  <c r="AK195" i="16" s="1"/>
  <c r="CL104" i="11"/>
  <c r="B198" i="9"/>
  <c r="AI113" i="16"/>
  <c r="B165" i="9" s="1"/>
  <c r="AN150" i="11"/>
  <c r="AO150" i="11" s="1"/>
  <c r="AK100" i="17"/>
  <c r="BY100" i="17" s="1"/>
  <c r="Q109" i="16"/>
  <c r="CG109" i="16"/>
  <c r="S106" i="11"/>
  <c r="CI106" i="11"/>
  <c r="R106" i="11"/>
  <c r="CH106" i="11"/>
  <c r="Q105" i="17"/>
  <c r="CG105" i="17"/>
  <c r="C90" i="3"/>
  <c r="BL30" i="6"/>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AQ100" i="16"/>
  <c r="V150" i="11"/>
  <c r="W150" i="11" s="1"/>
  <c r="AH150" i="11"/>
  <c r="AI150" i="11"/>
  <c r="AG150" i="11"/>
  <c r="AF150" i="11"/>
  <c r="G167" i="16"/>
  <c r="G207" i="16"/>
  <c r="AH91" i="19"/>
  <c r="AH100" i="18"/>
  <c r="AK100" i="18" s="1"/>
  <c r="AM100" i="18" s="1"/>
  <c r="CE34" i="6"/>
  <c r="X123" i="8"/>
  <c r="CM98" i="11"/>
  <c r="CM99" i="11"/>
  <c r="CD29" i="6"/>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BY28" i="6"/>
  <c r="G117" i="17"/>
  <c r="AR107" i="19" s="1"/>
  <c r="AU107" i="19" s="1"/>
  <c r="AV107" i="19" s="1"/>
  <c r="CH29" i="6"/>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K156" i="16" l="1"/>
  <c r="CD98" i="17"/>
  <c r="CL28" i="6" s="1"/>
  <c r="BH112" i="16"/>
  <c r="BD112" i="16"/>
  <c r="BK112" i="16"/>
  <c r="BI112" i="16"/>
  <c r="BL112" i="16" s="1"/>
  <c r="BJ112" i="16"/>
  <c r="AG191" i="17"/>
  <c r="AF191" i="17"/>
  <c r="AI191" i="17"/>
  <c r="BC101" i="17"/>
  <c r="BE101" i="17" s="1"/>
  <c r="BC113" i="17"/>
  <c r="BE113" i="17" s="1"/>
  <c r="AE99" i="17"/>
  <c r="BC100" i="17"/>
  <c r="BE100" i="17" s="1"/>
  <c r="AN99" i="17"/>
  <c r="C89" i="19"/>
  <c r="AF99" i="17"/>
  <c r="AO99" i="17"/>
  <c r="AP99" i="17"/>
  <c r="BH101" i="17"/>
  <c r="AM99" i="17"/>
  <c r="BW99" i="17" s="1"/>
  <c r="N88" i="19"/>
  <c r="BY101" i="11"/>
  <c r="BV101" i="11"/>
  <c r="BI31" i="6" s="1"/>
  <c r="K146" i="16"/>
  <c r="M146" i="16" s="1"/>
  <c r="Y146" i="16"/>
  <c r="BI110" i="16"/>
  <c r="BV99" i="17"/>
  <c r="I158" i="16"/>
  <c r="BX118" i="16"/>
  <c r="BF110" i="16"/>
  <c r="K157" i="16"/>
  <c r="M157" i="16" s="1"/>
  <c r="Y157" i="16"/>
  <c r="AE141" i="16"/>
  <c r="AE152" i="17"/>
  <c r="BV100" i="17"/>
  <c r="AE180" i="16"/>
  <c r="BY100" i="16"/>
  <c r="AE181" i="17"/>
  <c r="BZ101" i="17" s="1"/>
  <c r="BY101" i="17"/>
  <c r="AE191" i="16"/>
  <c r="BG100" i="17"/>
  <c r="BH110" i="16"/>
  <c r="V105" i="11"/>
  <c r="Y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BJ100" i="17"/>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L110" i="16" s="1"/>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BF101" i="17"/>
  <c r="BI101"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BF113" i="17"/>
  <c r="AD157" i="8"/>
  <c r="M156" i="11"/>
  <c r="Y116" i="11"/>
  <c r="Z116" i="11" s="1"/>
  <c r="M156" i="17"/>
  <c r="P156" i="17" s="1"/>
  <c r="Q156" i="17" s="1"/>
  <c r="R156" i="17" s="1"/>
  <c r="S156" i="17" s="1"/>
  <c r="AJ139" i="17"/>
  <c r="AN182" i="17"/>
  <c r="AO182" i="17" s="1"/>
  <c r="AN151" i="16"/>
  <c r="AO151" i="16" s="1"/>
  <c r="AJ180" i="17"/>
  <c r="AB198" i="16"/>
  <c r="AU114" i="16"/>
  <c r="AZ114" i="16"/>
  <c r="BA114" i="16"/>
  <c r="CD99" i="17"/>
  <c r="CL29" i="6" s="1"/>
  <c r="CB99" i="17"/>
  <c r="CJ29" i="6" s="1"/>
  <c r="AC182" i="17"/>
  <c r="AD182" i="17"/>
  <c r="AM183" i="17"/>
  <c r="X183" i="17"/>
  <c r="AL183" i="17"/>
  <c r="P185" i="17"/>
  <c r="Q185" i="17" s="1"/>
  <c r="R185" i="17" s="1"/>
  <c r="S185" i="17" s="1"/>
  <c r="U184" i="17"/>
  <c r="T184" i="17"/>
  <c r="AB158" i="16"/>
  <c r="H158" i="16"/>
  <c r="L158" i="16"/>
  <c r="AL114" i="17"/>
  <c r="CD100" i="11"/>
  <c r="CD30" i="6" s="1"/>
  <c r="CB100" i="11"/>
  <c r="CB30" i="6" s="1"/>
  <c r="V117" i="16"/>
  <c r="CD101" i="17"/>
  <c r="CB101" i="17"/>
  <c r="AN151" i="17"/>
  <c r="AO151" i="17" s="1"/>
  <c r="L198" i="17"/>
  <c r="AB198" i="17"/>
  <c r="AN153" i="17"/>
  <c r="AO153" i="17" s="1"/>
  <c r="AC151" i="16"/>
  <c r="AD151" i="16"/>
  <c r="M186" i="17"/>
  <c r="AK186" i="17"/>
  <c r="AB158" i="17"/>
  <c r="AW103" i="11"/>
  <c r="AT103" i="11"/>
  <c r="K271" i="9"/>
  <c r="CC100" i="17"/>
  <c r="CE100" i="17"/>
  <c r="CM30" i="6" s="1"/>
  <c r="J188" i="17"/>
  <c r="Y188" i="17" s="1"/>
  <c r="K187" i="17"/>
  <c r="AC151" i="17"/>
  <c r="AD151" i="17"/>
  <c r="AI181" i="17"/>
  <c r="AG181" i="17"/>
  <c r="V181" i="17"/>
  <c r="W181" i="17" s="1"/>
  <c r="AH181" i="17"/>
  <c r="AF181" i="17"/>
  <c r="AJ191" i="17"/>
  <c r="AK195" i="11"/>
  <c r="K197" i="17"/>
  <c r="H197" i="17"/>
  <c r="CE99" i="16"/>
  <c r="CC99" i="16"/>
  <c r="CC111" i="17"/>
  <c r="CE111" i="17"/>
  <c r="AD193" i="17"/>
  <c r="AC193" i="17"/>
  <c r="CE110" i="16"/>
  <c r="CI40" i="6" s="1"/>
  <c r="CC110" i="16"/>
  <c r="AJ179" i="16"/>
  <c r="T195" i="17"/>
  <c r="U195" i="17"/>
  <c r="AC192" i="17"/>
  <c r="AD192" i="17"/>
  <c r="H197" i="16"/>
  <c r="U194" i="17"/>
  <c r="T194" i="17"/>
  <c r="AK196" i="17"/>
  <c r="M196" i="17"/>
  <c r="P195" i="11"/>
  <c r="Q195" i="11" s="1"/>
  <c r="AJ190" i="16"/>
  <c r="AN192" i="17"/>
  <c r="AO192" i="17" s="1"/>
  <c r="AN193" i="17"/>
  <c r="AO193" i="17" s="1"/>
  <c r="BL111" i="16"/>
  <c r="BL100" i="16"/>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BY101" i="16" s="1"/>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BJ113" i="17"/>
  <c r="BK113" i="17"/>
  <c r="BD113" i="17"/>
  <c r="S109" i="16"/>
  <c r="CI109" i="16"/>
  <c r="Y116" i="16"/>
  <c r="V117" i="11"/>
  <c r="CL118" i="17"/>
  <c r="V105" i="17"/>
  <c r="B199" i="9"/>
  <c r="AI114" i="16"/>
  <c r="B166" i="9" s="1"/>
  <c r="Y116" i="17"/>
  <c r="P107" i="17"/>
  <c r="U106" i="17"/>
  <c r="CK106" i="17"/>
  <c r="BI100" i="17"/>
  <c r="V105" i="16"/>
  <c r="BG101" i="17"/>
  <c r="CL116" i="11"/>
  <c r="K196" i="16"/>
  <c r="AK196" i="16" s="1"/>
  <c r="CL105" i="11"/>
  <c r="AQ101" i="17"/>
  <c r="C91" i="3"/>
  <c r="BL31" i="6"/>
  <c r="AE101" i="11"/>
  <c r="CH119" i="17"/>
  <c r="CK119" i="17"/>
  <c r="CG119" i="17"/>
  <c r="CJ119" i="17"/>
  <c r="CI119" i="17"/>
  <c r="S119" i="17"/>
  <c r="K119" i="17"/>
  <c r="Z105" i="11"/>
  <c r="AA105" i="11" s="1"/>
  <c r="AB105" i="11" s="1"/>
  <c r="T106" i="11"/>
  <c r="CJ106" i="11"/>
  <c r="Z158" i="16"/>
  <c r="L198" i="11"/>
  <c r="AB198" i="11"/>
  <c r="Z198" i="11"/>
  <c r="CA117" i="16"/>
  <c r="BT47" i="6" s="1"/>
  <c r="AH100" i="19"/>
  <c r="AK100" i="19" s="1"/>
  <c r="Z115" i="16"/>
  <c r="AA115" i="16" s="1"/>
  <c r="AB115" i="16" s="1"/>
  <c r="X91" i="19"/>
  <c r="AI114" i="11"/>
  <c r="B97" i="9"/>
  <c r="B131" i="9"/>
  <c r="X91" i="18"/>
  <c r="CL116" i="16"/>
  <c r="BZ100" i="11"/>
  <c r="BM30" i="6" s="1"/>
  <c r="BG113" i="17"/>
  <c r="Z103" i="17"/>
  <c r="AA103" i="17" s="1"/>
  <c r="AB103" i="17" s="1"/>
  <c r="J147" i="16"/>
  <c r="AK146" i="16"/>
  <c r="Z103" i="16"/>
  <c r="AA103" i="16" s="1"/>
  <c r="K237" i="9"/>
  <c r="K203" i="9"/>
  <c r="AH105" i="11"/>
  <c r="BI113" i="17"/>
  <c r="G232" i="9"/>
  <c r="J232" i="9"/>
  <c r="H232" i="9"/>
  <c r="M145" i="17"/>
  <c r="V117" i="17"/>
  <c r="AK157" i="16"/>
  <c r="K157" i="11"/>
  <c r="M157" i="11" s="1"/>
  <c r="R107" i="17"/>
  <c r="CH107" i="17"/>
  <c r="Z198" i="17"/>
  <c r="CA117" i="17"/>
  <c r="BZ47" i="6" s="1"/>
  <c r="U118" i="16"/>
  <c r="Q118" i="16"/>
  <c r="T118" i="16"/>
  <c r="S118" i="16"/>
  <c r="R118" i="16"/>
  <c r="T118" i="17"/>
  <c r="Q118" i="17"/>
  <c r="U118" i="17"/>
  <c r="R118" i="17"/>
  <c r="I158" i="11"/>
  <c r="Y158" i="11" s="1"/>
  <c r="BK48" i="6"/>
  <c r="BQ48" i="6"/>
  <c r="F158" i="17"/>
  <c r="F158" i="16"/>
  <c r="F198" i="16"/>
  <c r="F198" i="11"/>
  <c r="F198" i="17"/>
  <c r="F158" i="11"/>
  <c r="K157" i="17"/>
  <c r="AK157" i="17" s="1"/>
  <c r="K196" i="11"/>
  <c r="M196" i="11" s="1"/>
  <c r="CM103" i="16"/>
  <c r="H157" i="17"/>
  <c r="BH113" i="17"/>
  <c r="AP101" i="16"/>
  <c r="C91" i="18"/>
  <c r="AE101" i="16"/>
  <c r="AM101" i="16"/>
  <c r="AO101" i="16"/>
  <c r="AN101" i="16"/>
  <c r="BJ101" i="17"/>
  <c r="BD101" i="17"/>
  <c r="BK101" i="17"/>
  <c r="G266" i="9"/>
  <c r="H266" i="9"/>
  <c r="J266" i="9"/>
  <c r="J147" i="17"/>
  <c r="Y147" i="17" s="1"/>
  <c r="K146" i="17"/>
  <c r="AK146" i="17" s="1"/>
  <c r="T106" i="16"/>
  <c r="CJ106" i="16"/>
  <c r="O107" i="16"/>
  <c r="R106" i="16"/>
  <c r="CH106" i="16"/>
  <c r="M107" i="16"/>
  <c r="Z158" i="17"/>
  <c r="L158" i="17"/>
  <c r="H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BZ99" i="17"/>
  <c r="G168" i="16"/>
  <c r="G208" i="16"/>
  <c r="AH92" i="19"/>
  <c r="CM41" i="6"/>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AA157" i="8"/>
  <c r="T157" i="8"/>
  <c r="AB157" i="8"/>
  <c r="L157"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D89" i="19"/>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AF157" i="8" l="1"/>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W101" i="16"/>
  <c r="BV101" i="16"/>
  <c r="I159" i="16"/>
  <c r="BX119" i="16"/>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BF99" i="17"/>
  <c r="F89" i="19" s="1"/>
  <c r="BK99" i="17"/>
  <c r="K89" i="19" s="1"/>
  <c r="U157" i="8"/>
  <c r="AD104" i="17"/>
  <c r="AX104" i="17" s="1"/>
  <c r="AC104" i="17"/>
  <c r="AB103" i="16"/>
  <c r="AL114" i="16"/>
  <c r="AL102" i="17"/>
  <c r="BB102" i="17"/>
  <c r="AR102" i="17"/>
  <c r="AV102" i="17"/>
  <c r="AR114" i="16"/>
  <c r="AV114" i="16"/>
  <c r="AT114" i="16"/>
  <c r="BC114" i="16" s="1"/>
  <c r="BE114" i="16" s="1"/>
  <c r="J157" i="8"/>
  <c r="BC113" i="16"/>
  <c r="BH99" i="17"/>
  <c r="H89" i="19" s="1"/>
  <c r="AD104" i="16"/>
  <c r="AX104" i="16" s="1"/>
  <c r="AC104" i="16"/>
  <c r="AB115" i="17"/>
  <c r="BJ101" i="16"/>
  <c r="AZ102" i="17"/>
  <c r="AS114" i="16"/>
  <c r="AX114" i="16"/>
  <c r="BL98" i="17"/>
  <c r="H233" i="9"/>
  <c r="AJ103" i="1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H159" i="16"/>
  <c r="AB159" i="16"/>
  <c r="AB199" i="16"/>
  <c r="CD100" i="17"/>
  <c r="CL30" i="6" s="1"/>
  <c r="CB100" i="17"/>
  <c r="CJ30" i="6" s="1"/>
  <c r="AL103" i="17"/>
  <c r="AW103" i="17"/>
  <c r="BA103" i="17"/>
  <c r="AY115" i="16"/>
  <c r="AV115" i="16"/>
  <c r="AT115" i="16"/>
  <c r="BL101" i="17"/>
  <c r="BL113" i="17"/>
  <c r="P186" i="17"/>
  <c r="Q186" i="17" s="1"/>
  <c r="R186" i="17" s="1"/>
  <c r="S186" i="17" s="1"/>
  <c r="AH151" i="16"/>
  <c r="AF151" i="16"/>
  <c r="AG151" i="16"/>
  <c r="V151" i="16"/>
  <c r="W151" i="16" s="1"/>
  <c r="AI151" i="16"/>
  <c r="AL184" i="17"/>
  <c r="AM184" i="17"/>
  <c r="X184" i="17"/>
  <c r="AB199" i="17"/>
  <c r="L199" i="17"/>
  <c r="AV104" i="17"/>
  <c r="AR104" i="17"/>
  <c r="AZ104"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BL100" i="17"/>
  <c r="BI101" i="16"/>
  <c r="AD154" i="17"/>
  <c r="AC154" i="17"/>
  <c r="P157" i="17"/>
  <c r="Q157" i="17" s="1"/>
  <c r="R157" i="17" s="1"/>
  <c r="S157" i="17" s="1"/>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Q49" i="6"/>
  <c r="AL104" i="17"/>
  <c r="AJ104" i="17"/>
  <c r="AK104" i="17" s="1"/>
  <c r="AF104" i="17" s="1"/>
  <c r="B268" i="9"/>
  <c r="B234" i="9"/>
  <c r="AI115" i="17"/>
  <c r="M146" i="17"/>
  <c r="V118" i="16"/>
  <c r="X92" i="18"/>
  <c r="AI115" i="11"/>
  <c r="B132" i="9"/>
  <c r="B98" i="9"/>
  <c r="CL119" i="17"/>
  <c r="BZ101" i="11"/>
  <c r="BM31" i="6" s="1"/>
  <c r="P108" i="17"/>
  <c r="U107" i="17"/>
  <c r="CK107" i="17"/>
  <c r="BH101" i="16"/>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AQ101" i="16"/>
  <c r="K169" i="9"/>
  <c r="Y117" i="17"/>
  <c r="BF101" i="16"/>
  <c r="J148" i="16"/>
  <c r="AK147"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BI32" i="6"/>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X104" i="18"/>
  <c r="BZ100" i="17"/>
  <c r="K197" i="11"/>
  <c r="M197" i="11" s="1"/>
  <c r="R107" i="16"/>
  <c r="CH107" i="16"/>
  <c r="M108" i="16"/>
  <c r="CD101" i="16"/>
  <c r="CH31" i="6" s="1"/>
  <c r="CB101" i="16"/>
  <c r="CF31" i="6" s="1"/>
  <c r="X104" i="19"/>
  <c r="BD101" i="16"/>
  <c r="BK101" i="16"/>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N89" i="19"/>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L124" i="8"/>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J89" i="19"/>
  <c r="CL31" i="6"/>
  <c r="CJ31" i="6"/>
  <c r="CC35" i="6"/>
  <c r="G119" i="17"/>
  <c r="AR109" i="19" s="1"/>
  <c r="AU109" i="19" s="1"/>
  <c r="AV109" i="19" s="1"/>
  <c r="H103" i="19"/>
  <c r="BX30" i="6"/>
  <c r="H89" i="18"/>
  <c r="F103" i="19"/>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J21" i="23"/>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J103" i="19"/>
  <c r="K103" i="19"/>
  <c r="I103" i="19"/>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K103" i="11"/>
  <c r="AB90" i="3"/>
  <c r="AC90" i="3"/>
  <c r="B126" i="8"/>
  <c r="F32" i="6"/>
  <c r="B125" i="8"/>
  <c r="L108" i="17"/>
  <c r="AK91" i="19"/>
  <c r="E65" i="6"/>
  <c r="D65" i="6"/>
  <c r="M65" i="6" s="1"/>
  <c r="F65" i="6"/>
  <c r="N108" i="17"/>
  <c r="O108" i="17"/>
  <c r="D90" i="18"/>
  <c r="I89" i="18"/>
  <c r="D91"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BB105" i="11" l="1"/>
  <c r="BB104" i="16"/>
  <c r="AL104" i="16"/>
  <c r="AH157" i="8"/>
  <c r="I199" i="6" s="1"/>
  <c r="AZ105" i="11"/>
  <c r="AL105" i="11"/>
  <c r="AV104" i="16"/>
  <c r="AB124" i="8"/>
  <c r="BG101" i="16"/>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Y103" i="11"/>
  <c r="BL33" i="6" s="1"/>
  <c r="K148" i="16"/>
  <c r="M148" i="16" s="1"/>
  <c r="Y148" i="16"/>
  <c r="BY102" i="17"/>
  <c r="I160" i="16"/>
  <c r="BX120" i="16"/>
  <c r="BQ50" i="6" s="1"/>
  <c r="BG112" i="17"/>
  <c r="G102" i="19" s="1"/>
  <c r="BW102" i="11"/>
  <c r="K189" i="17"/>
  <c r="Y189" i="17"/>
  <c r="K159" i="16"/>
  <c r="M159" i="16" s="1"/>
  <c r="Y159" i="16"/>
  <c r="AE154" i="16"/>
  <c r="AE142" i="17"/>
  <c r="BV102" i="17"/>
  <c r="AE154" i="17"/>
  <c r="AE183" i="17"/>
  <c r="BK112" i="17"/>
  <c r="K102" i="19" s="1"/>
  <c r="BC102" i="17"/>
  <c r="BH102" i="17" s="1"/>
  <c r="BJ114" i="17"/>
  <c r="J104" i="19"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AC116" i="16"/>
  <c r="AZ103" i="17"/>
  <c r="AY103" i="17"/>
  <c r="AU103" i="17"/>
  <c r="AB117" i="16"/>
  <c r="AB116" i="17"/>
  <c r="AT103" i="17"/>
  <c r="AS103" i="17"/>
  <c r="AV103" i="17"/>
  <c r="AD115" i="17"/>
  <c r="AC115" i="17"/>
  <c r="BL99" i="17"/>
  <c r="AJ103" i="17"/>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D126" i="8"/>
  <c r="F126" i="8"/>
  <c r="H126" i="8"/>
  <c r="AF126" i="8" s="1"/>
  <c r="C126" i="8"/>
  <c r="E126" i="8"/>
  <c r="G126" i="8"/>
  <c r="I126" i="8"/>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M189" i="17"/>
  <c r="AK189" i="17"/>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H160" i="16"/>
  <c r="AL116" i="16"/>
  <c r="BB116" i="16"/>
  <c r="AW116" i="16"/>
  <c r="AY116" i="16"/>
  <c r="AV116" i="16"/>
  <c r="BA116" i="16"/>
  <c r="AT116" i="16"/>
  <c r="AZ116" i="16"/>
  <c r="AX116" i="16"/>
  <c r="AU116" i="16"/>
  <c r="AR116" i="16"/>
  <c r="AS116" i="16"/>
  <c r="K273" i="9"/>
  <c r="CD102" i="11"/>
  <c r="CD32" i="6" s="1"/>
  <c r="CB102" i="11"/>
  <c r="CB32" i="6" s="1"/>
  <c r="BJ32" i="6"/>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BF114" i="16"/>
  <c r="BI114" i="16"/>
  <c r="BL101" i="16"/>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AK103" i="17"/>
  <c r="AF103" i="17" s="1"/>
  <c r="X93" i="18"/>
  <c r="R108" i="16"/>
  <c r="CH108" i="16"/>
  <c r="M109" i="16"/>
  <c r="BK114" i="17"/>
  <c r="K104" i="19" s="1"/>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BI33" i="6"/>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AJ116" i="16"/>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BH114" i="16"/>
  <c r="BK114" i="16"/>
  <c r="BD114" i="16"/>
  <c r="AP102" i="17"/>
  <c r="V107" i="16"/>
  <c r="AK197" i="11"/>
  <c r="BJ114" i="16"/>
  <c r="Y118" i="17"/>
  <c r="BE102" i="17"/>
  <c r="K159" i="17"/>
  <c r="AK159" i="17" s="1"/>
  <c r="K198" i="11"/>
  <c r="M198" i="11" s="1"/>
  <c r="H198" i="11"/>
  <c r="R152" i="11"/>
  <c r="S152" i="11" s="1"/>
  <c r="T152" i="11" s="1"/>
  <c r="AH106" i="17"/>
  <c r="CM106" i="17" s="1"/>
  <c r="Y106" i="17"/>
  <c r="B201" i="9"/>
  <c r="AI116" i="16"/>
  <c r="B168" i="9" s="1"/>
  <c r="BG114" i="16"/>
  <c r="J149" i="16"/>
  <c r="Y149" i="16" s="1"/>
  <c r="BG102" i="17"/>
  <c r="J149" i="17"/>
  <c r="K148" i="17"/>
  <c r="AK148" i="17" s="1"/>
  <c r="V119" i="16"/>
  <c r="CL120" i="17"/>
  <c r="H268" i="9"/>
  <c r="J268" i="9"/>
  <c r="G268" i="9"/>
  <c r="R157" i="11"/>
  <c r="S157" i="11" s="1"/>
  <c r="T157" i="11" s="1"/>
  <c r="G170" i="16"/>
  <c r="G210" i="16"/>
  <c r="AH94" i="19"/>
  <c r="AH103" i="19"/>
  <c r="AH103" i="18"/>
  <c r="CE37" i="6"/>
  <c r="H199" i="6"/>
  <c r="O63" i="6"/>
  <c r="S63" i="6" s="1"/>
  <c r="AF28" i="6" s="1"/>
  <c r="I64" i="6"/>
  <c r="O64" i="6" s="1"/>
  <c r="S64" i="6" s="1"/>
  <c r="AF29" i="6" s="1"/>
  <c r="H30" i="6"/>
  <c r="O131" i="6"/>
  <c r="S131" i="6" s="1"/>
  <c r="AR28" i="6" s="1"/>
  <c r="G30" i="6"/>
  <c r="I165" i="6"/>
  <c r="O165" i="6" s="1"/>
  <c r="S165" i="6" s="1"/>
  <c r="AX28" i="6" s="1"/>
  <c r="AW109" i="19"/>
  <c r="X41" i="19"/>
  <c r="AH41" i="3"/>
  <c r="AH41" i="19"/>
  <c r="AH41" i="18"/>
  <c r="X41" i="18"/>
  <c r="X41" i="3"/>
  <c r="G199" i="6"/>
  <c r="N91" i="18"/>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AF125"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H91" i="18"/>
  <c r="K91" i="18"/>
  <c r="I90" i="18"/>
  <c r="BX31" i="6"/>
  <c r="BY30" i="6"/>
  <c r="H90" i="18"/>
  <c r="G91" i="18"/>
  <c r="I91" i="18"/>
  <c r="I90" i="19"/>
  <c r="G90" i="18"/>
  <c r="G90" i="19"/>
  <c r="F91" i="18"/>
  <c r="G89" i="18"/>
  <c r="P89" i="18" s="1"/>
  <c r="Q89" i="18" s="1"/>
  <c r="R89" i="18" s="1"/>
  <c r="T89" i="18" s="1"/>
  <c r="CC36" i="6"/>
  <c r="G120" i="17"/>
  <c r="AR110" i="19" s="1"/>
  <c r="AU110" i="19" s="1"/>
  <c r="AV110" i="19" s="1"/>
  <c r="E91" i="18"/>
  <c r="J90" i="19"/>
  <c r="K90" i="19"/>
  <c r="F90" i="19"/>
  <c r="E90" i="18"/>
  <c r="J91" i="18"/>
  <c r="H90" i="19"/>
  <c r="AC38" i="3"/>
  <c r="AE38" i="3" s="1"/>
  <c r="AF38" i="3" s="1"/>
  <c r="BC38" i="3" s="1"/>
  <c r="BE38" i="3" s="1"/>
  <c r="BG38" i="3" s="1"/>
  <c r="AB38" i="3"/>
  <c r="AD38" i="3" s="1"/>
  <c r="AA39" i="3"/>
  <c r="AC92" i="3"/>
  <c r="D32" i="6"/>
  <c r="M32" i="6" s="1"/>
  <c r="J18" i="23"/>
  <c r="AK102" i="18"/>
  <c r="AB23" i="23"/>
  <c r="AT180" i="7"/>
  <c r="K21" i="23"/>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V108" i="11" l="1"/>
  <c r="Y108" i="11" s="1"/>
  <c r="BI102" i="17"/>
  <c r="BF102" i="17"/>
  <c r="BJ102" i="17"/>
  <c r="BD102" i="17"/>
  <c r="BK102" i="17"/>
  <c r="BC104" i="17"/>
  <c r="BG104" i="17" s="1"/>
  <c r="AK148" i="16"/>
  <c r="AY106" i="11"/>
  <c r="AW106" i="11"/>
  <c r="T196" i="11"/>
  <c r="AC191" i="11"/>
  <c r="AP104" i="16"/>
  <c r="AM104" i="16"/>
  <c r="AE104" i="16"/>
  <c r="BI114" i="17"/>
  <c r="I104" i="19" s="1"/>
  <c r="BF114" i="17"/>
  <c r="F104" i="19" s="1"/>
  <c r="BH114" i="17"/>
  <c r="H104" i="19" s="1"/>
  <c r="BD114" i="17"/>
  <c r="BG114" i="17"/>
  <c r="G104" i="19" s="1"/>
  <c r="N159" i="8"/>
  <c r="H160" i="11"/>
  <c r="Y160" i="11"/>
  <c r="H160" i="17"/>
  <c r="Y160" i="17"/>
  <c r="BC103" i="17"/>
  <c r="AF102" i="16"/>
  <c r="BV102" i="16"/>
  <c r="BY103" i="17"/>
  <c r="BX33" i="6" s="1"/>
  <c r="K160" i="16"/>
  <c r="Y160" i="16"/>
  <c r="K149" i="17"/>
  <c r="AK149" i="17" s="1"/>
  <c r="Y149" i="17"/>
  <c r="K189" i="16"/>
  <c r="AK189" i="16" s="1"/>
  <c r="Y189" i="16"/>
  <c r="M160" i="16"/>
  <c r="BW102" i="17"/>
  <c r="I161" i="16"/>
  <c r="BX121" i="16"/>
  <c r="BY102" i="16"/>
  <c r="BV104" i="11"/>
  <c r="BY104" i="11"/>
  <c r="BL34" i="6" s="1"/>
  <c r="BW103" i="11"/>
  <c r="AE156" i="16"/>
  <c r="AE144" i="16"/>
  <c r="BV104" i="16"/>
  <c r="AE143" i="17"/>
  <c r="BV103" i="17"/>
  <c r="V191" i="11"/>
  <c r="W191" i="11" s="1"/>
  <c r="CE111" i="11" s="1"/>
  <c r="AE183" i="16"/>
  <c r="AE193" i="16"/>
  <c r="AE184" i="17"/>
  <c r="BZ104" i="17" s="1"/>
  <c r="BY104" i="17"/>
  <c r="X125" i="8"/>
  <c r="AE102" i="16"/>
  <c r="BC115" i="16"/>
  <c r="BG115" i="16" s="1"/>
  <c r="BC104" i="16"/>
  <c r="AH107" i="11"/>
  <c r="AU33" i="6"/>
  <c r="AO33" i="6"/>
  <c r="AO46" i="6"/>
  <c r="H102" i="19"/>
  <c r="BL112" i="17"/>
  <c r="AN102" i="16"/>
  <c r="C92" i="18"/>
  <c r="C94" i="18"/>
  <c r="AP102" i="16"/>
  <c r="B127" i="8" s="1"/>
  <c r="F127" i="8" s="1"/>
  <c r="AM194" i="11"/>
  <c r="AH104" i="3" s="1"/>
  <c r="AN104" i="16"/>
  <c r="AM102" i="16"/>
  <c r="BW102" i="16" s="1"/>
  <c r="AO102" i="16"/>
  <c r="AO104" i="16"/>
  <c r="AQ104" i="16" s="1"/>
  <c r="BG45" i="6"/>
  <c r="BA45" i="6"/>
  <c r="BL113" i="16"/>
  <c r="AC105" i="16"/>
  <c r="AD105" i="16"/>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BH104" i="17"/>
  <c r="AL106" i="11"/>
  <c r="AT106" i="11"/>
  <c r="AS106" i="11"/>
  <c r="AV106" i="11"/>
  <c r="BA106" i="11"/>
  <c r="AR106" i="11"/>
  <c r="AJ106" i="11"/>
  <c r="BB106" i="11"/>
  <c r="AZ106" i="11"/>
  <c r="AB107" i="11"/>
  <c r="E94" i="8"/>
  <c r="AC111" i="11"/>
  <c r="AC41" i="6" s="1"/>
  <c r="AD111" i="11"/>
  <c r="AU111" i="11" s="1"/>
  <c r="AB117" i="11"/>
  <c r="G94" i="8"/>
  <c r="D94" i="8"/>
  <c r="C94" i="8"/>
  <c r="P126" i="8"/>
  <c r="D92" i="18"/>
  <c r="N92" i="18" s="1"/>
  <c r="X126" i="8"/>
  <c r="J125" i="8"/>
  <c r="AP104" i="11"/>
  <c r="B95" i="8" s="1"/>
  <c r="F95" i="8" s="1"/>
  <c r="AF104" i="11"/>
  <c r="AK199" i="17"/>
  <c r="J126" i="8"/>
  <c r="AJ154" i="17"/>
  <c r="AD159" i="8"/>
  <c r="G235" i="9"/>
  <c r="J235" i="9"/>
  <c r="Y119" i="11"/>
  <c r="Z119" i="11" s="1"/>
  <c r="C160" i="8"/>
  <c r="G160" i="8"/>
  <c r="D160" i="8"/>
  <c r="H160" i="8"/>
  <c r="E160" i="8"/>
  <c r="I160" i="8"/>
  <c r="Y160" i="8" s="1"/>
  <c r="F160" i="8"/>
  <c r="E95" i="8"/>
  <c r="AJ183" i="17"/>
  <c r="AN155" i="16"/>
  <c r="AO155" i="16" s="1"/>
  <c r="J269" i="9"/>
  <c r="AK159" i="11"/>
  <c r="J159" i="8"/>
  <c r="AN185" i="17"/>
  <c r="AO185" i="17" s="1"/>
  <c r="V120" i="16"/>
  <c r="P159" i="11"/>
  <c r="Q159" i="11" s="1"/>
  <c r="R159" i="11" s="1"/>
  <c r="S159" i="11" s="1"/>
  <c r="T159" i="11" s="1"/>
  <c r="AB161" i="17"/>
  <c r="BL114" i="16"/>
  <c r="V120" i="11"/>
  <c r="Y120" i="11" s="1"/>
  <c r="Z120" i="11" s="1"/>
  <c r="CD102" i="17"/>
  <c r="CL32" i="6" s="1"/>
  <c r="CB102" i="17"/>
  <c r="CL108" i="16"/>
  <c r="AJ142" i="17"/>
  <c r="P188" i="17"/>
  <c r="Q188" i="17" s="1"/>
  <c r="R188" i="17" s="1"/>
  <c r="S188" i="17" s="1"/>
  <c r="CC103" i="17"/>
  <c r="CE103" i="17"/>
  <c r="CM33" i="6" s="1"/>
  <c r="Z160" i="16"/>
  <c r="AL186" i="17"/>
  <c r="X186" i="17"/>
  <c r="AM186" i="17"/>
  <c r="L161" i="16"/>
  <c r="H161" i="16"/>
  <c r="AB161" i="16"/>
  <c r="AB201" i="16"/>
  <c r="CD103" i="11"/>
  <c r="CD33" i="6" s="1"/>
  <c r="CB103" i="11"/>
  <c r="CB33" i="6" s="1"/>
  <c r="AC185" i="17"/>
  <c r="AD185" i="17"/>
  <c r="Z160" i="11"/>
  <c r="AI50" i="6" s="1"/>
  <c r="AQ104" i="17"/>
  <c r="AU105" i="16"/>
  <c r="AV105" i="16"/>
  <c r="AW105" i="16"/>
  <c r="AX105" i="16"/>
  <c r="AS105" i="16"/>
  <c r="AR105" i="16"/>
  <c r="BB105" i="16"/>
  <c r="AT105" i="16"/>
  <c r="AZ105" i="16"/>
  <c r="BA105" i="16"/>
  <c r="AY105" i="16"/>
  <c r="AH184" i="17"/>
  <c r="AI184" i="17"/>
  <c r="AG184" i="17"/>
  <c r="V184" i="17"/>
  <c r="W184" i="17" s="1"/>
  <c r="AF184" i="17"/>
  <c r="P189" i="17"/>
  <c r="Q189" i="17" s="1"/>
  <c r="R189" i="17" s="1"/>
  <c r="S189" i="17" s="1"/>
  <c r="K274" i="9"/>
  <c r="AB201" i="17"/>
  <c r="L201" i="17"/>
  <c r="O30" i="6"/>
  <c r="S30" i="6" s="1"/>
  <c r="Z29" i="6" s="1"/>
  <c r="K149" i="16"/>
  <c r="M149" i="16" s="1"/>
  <c r="AR105" i="17"/>
  <c r="BJ33" i="6"/>
  <c r="CL108" i="17"/>
  <c r="AW117"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BJ115" i="16"/>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9" i="16"/>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AE191" i="11"/>
  <c r="AH191" i="11"/>
  <c r="AG191" i="11"/>
  <c r="AI191" i="11"/>
  <c r="AF191" i="11"/>
  <c r="CJ122" i="17"/>
  <c r="CI122" i="17"/>
  <c r="CH122" i="17"/>
  <c r="CK122" i="17"/>
  <c r="CG122" i="17"/>
  <c r="S122" i="17"/>
  <c r="K122" i="17"/>
  <c r="CA120" i="17"/>
  <c r="BZ50" i="6" s="1"/>
  <c r="Z106" i="17"/>
  <c r="AA106" i="17" s="1"/>
  <c r="AC195" i="11"/>
  <c r="T109" i="16"/>
  <c r="CJ109" i="16"/>
  <c r="K171" i="9"/>
  <c r="CJ32" i="6"/>
  <c r="BJ104" i="16"/>
  <c r="BD104" i="16"/>
  <c r="BK104" i="16"/>
  <c r="CM106" i="16"/>
  <c r="BK103" i="17"/>
  <c r="BD103" i="17"/>
  <c r="M159" i="17"/>
  <c r="BF104" i="16"/>
  <c r="BL114"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BF103" i="17"/>
  <c r="AH108" i="11"/>
  <c r="V120" i="17"/>
  <c r="CL108" i="11"/>
  <c r="BI104" i="16"/>
  <c r="X94" i="18"/>
  <c r="BG103" i="17"/>
  <c r="BE104" i="16"/>
  <c r="V108" i="16"/>
  <c r="C93" i="19"/>
  <c r="AE103" i="17"/>
  <c r="AM103" i="17"/>
  <c r="D93" i="19" s="1"/>
  <c r="AO103" i="17"/>
  <c r="AN103" i="17"/>
  <c r="U109" i="17"/>
  <c r="CK109" i="17"/>
  <c r="AE103" i="16"/>
  <c r="AL193" i="11"/>
  <c r="AM193" i="11"/>
  <c r="AH103" i="3" s="1"/>
  <c r="C94" i="3"/>
  <c r="BI34" i="6"/>
  <c r="AE104" i="11"/>
  <c r="T121" i="11"/>
  <c r="R121" i="11"/>
  <c r="Q121" i="11"/>
  <c r="U121" i="11"/>
  <c r="S121" i="11"/>
  <c r="B202" i="9"/>
  <c r="AI117" i="16"/>
  <c r="B169" i="9" s="1"/>
  <c r="BC116" i="16"/>
  <c r="BG116" i="16" s="1"/>
  <c r="K240" i="9"/>
  <c r="K206" i="9"/>
  <c r="Y119" i="16"/>
  <c r="Z119" i="16" s="1"/>
  <c r="AA119" i="16" s="1"/>
  <c r="AB119" i="16" s="1"/>
  <c r="AC193" i="11"/>
  <c r="BK104" i="17"/>
  <c r="BD104" i="17"/>
  <c r="V108" i="17"/>
  <c r="CD102" i="16"/>
  <c r="CH32" i="6" s="1"/>
  <c r="CB102" i="16"/>
  <c r="CF32" i="6" s="1"/>
  <c r="BD115" i="16"/>
  <c r="AJ105" i="16"/>
  <c r="S109" i="17"/>
  <c r="CI109" i="17"/>
  <c r="BQ51" i="6"/>
  <c r="CA120" i="16"/>
  <c r="BT50" i="6" s="1"/>
  <c r="CK120" i="16"/>
  <c r="CG120" i="16"/>
  <c r="CJ120" i="16"/>
  <c r="CI120" i="16"/>
  <c r="CH120" i="16"/>
  <c r="K120" i="16"/>
  <c r="Z201" i="17"/>
  <c r="M148" i="17"/>
  <c r="Y107" i="16"/>
  <c r="AH107" i="16"/>
  <c r="BI103" i="17"/>
  <c r="K199" i="16"/>
  <c r="AK199" i="16" s="1"/>
  <c r="CL119" i="16"/>
  <c r="BJ104" i="17"/>
  <c r="AQ102" i="17"/>
  <c r="BJ103" i="17"/>
  <c r="AI117" i="11"/>
  <c r="B134" i="9"/>
  <c r="B100" i="9"/>
  <c r="AH107" i="17"/>
  <c r="Y107" i="17"/>
  <c r="Z118" i="16"/>
  <c r="AA118" i="16" s="1"/>
  <c r="AB118" i="16" s="1"/>
  <c r="AL117" i="17"/>
  <c r="AP103" i="17"/>
  <c r="K160" i="17"/>
  <c r="M160" i="17" s="1"/>
  <c r="Y119" i="17"/>
  <c r="BH103" i="17"/>
  <c r="T109" i="11"/>
  <c r="CJ109" i="11"/>
  <c r="Z201" i="16"/>
  <c r="L201" i="16"/>
  <c r="F161" i="17"/>
  <c r="F161" i="16"/>
  <c r="F201" i="17"/>
  <c r="F201" i="11"/>
  <c r="F161" i="11"/>
  <c r="F201" i="16"/>
  <c r="T109" i="17"/>
  <c r="CJ109" i="17"/>
  <c r="Z108" i="11"/>
  <c r="AA108" i="11" s="1"/>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BI104" i="17"/>
  <c r="M149" i="17"/>
  <c r="BL102" i="17"/>
  <c r="CL121" i="17"/>
  <c r="CL119" i="11"/>
  <c r="AG112" i="11"/>
  <c r="K112" i="11"/>
  <c r="AA112" i="11"/>
  <c r="AB112" i="11" s="1"/>
  <c r="K138" i="9"/>
  <c r="K160" i="11"/>
  <c r="M160" i="11" s="1"/>
  <c r="BE104" i="17"/>
  <c r="BG104" i="16"/>
  <c r="BF104" i="17"/>
  <c r="Z106" i="16"/>
  <c r="AA106" i="16" s="1"/>
  <c r="AB106" i="16" s="1"/>
  <c r="R109" i="16"/>
  <c r="CH109" i="16"/>
  <c r="BE103" i="17"/>
  <c r="B270" i="9"/>
  <c r="G270" i="9" s="1"/>
  <c r="B236" i="9"/>
  <c r="G236" i="9" s="1"/>
  <c r="AI117" i="17"/>
  <c r="BH104" i="16"/>
  <c r="CB104" i="16"/>
  <c r="CD104" i="16"/>
  <c r="AL105" i="16"/>
  <c r="AK160" i="16"/>
  <c r="O199" i="6"/>
  <c r="S199" i="6" s="1"/>
  <c r="BD28" i="6" s="1"/>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K16" i="23"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AD126" i="8"/>
  <c r="N126" i="8"/>
  <c r="V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J22" i="23"/>
  <c r="K18"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B162" i="8"/>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L18" i="23" s="1"/>
  <c r="E33" i="6"/>
  <c r="A163" i="16"/>
  <c r="A123" i="16"/>
  <c r="A123" i="11"/>
  <c r="A163" i="11"/>
  <c r="AQ103" i="11"/>
  <c r="AN104" i="11"/>
  <c r="AO104" i="11"/>
  <c r="A151" i="7"/>
  <c r="A144" i="4"/>
  <c r="A54" i="6"/>
  <c r="W53" i="6" s="1"/>
  <c r="BH53" i="6" s="1"/>
  <c r="A113" i="3"/>
  <c r="K104" i="9" l="1"/>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BX122" i="16"/>
  <c r="K161" i="16"/>
  <c r="Y161" i="16"/>
  <c r="BY103" i="16"/>
  <c r="BV105" i="11"/>
  <c r="BI35" i="6" s="1"/>
  <c r="BY105" i="11"/>
  <c r="M161" i="16"/>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AR117" i="17"/>
  <c r="C127" i="8"/>
  <c r="K127" i="8" s="1"/>
  <c r="AG160" i="8"/>
  <c r="AI194" i="11"/>
  <c r="AO103" i="16"/>
  <c r="C93" i="18"/>
  <c r="AJ117" i="17"/>
  <c r="BA117" i="17"/>
  <c r="AZ117" i="17"/>
  <c r="AV117" i="17"/>
  <c r="D127" i="8"/>
  <c r="E127" i="8"/>
  <c r="U127" i="8" s="1"/>
  <c r="H127" i="8"/>
  <c r="P127" i="8" s="1"/>
  <c r="AO47" i="6"/>
  <c r="L102" i="19"/>
  <c r="P102" i="19"/>
  <c r="AT117" i="17"/>
  <c r="AX117" i="17"/>
  <c r="I127" i="8"/>
  <c r="Q127" i="8" s="1"/>
  <c r="BA46" i="6"/>
  <c r="BG46" i="6"/>
  <c r="BG47" i="6"/>
  <c r="BA47" i="6"/>
  <c r="AG194" i="11"/>
  <c r="AJ194" i="11" s="1"/>
  <c r="AQ102" i="16"/>
  <c r="AM103" i="16"/>
  <c r="BW103" i="16" s="1"/>
  <c r="AN103" i="16"/>
  <c r="BB117" i="17"/>
  <c r="G127" i="8"/>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J127" i="8"/>
  <c r="AP105" i="11"/>
  <c r="B96" i="8" s="1"/>
  <c r="C96" i="8" s="1"/>
  <c r="AF105" i="11"/>
  <c r="H270" i="9"/>
  <c r="AC152" i="11"/>
  <c r="AE152" i="11" s="1"/>
  <c r="AN186" i="17"/>
  <c r="AO186" i="17" s="1"/>
  <c r="AC127" i="8"/>
  <c r="AJ195" i="17"/>
  <c r="AJ184" i="17"/>
  <c r="AN145" i="17"/>
  <c r="AO145" i="17" s="1"/>
  <c r="D161" i="8"/>
  <c r="H161" i="8"/>
  <c r="E161" i="8"/>
  <c r="I161" i="8"/>
  <c r="F161" i="8"/>
  <c r="C161" i="8"/>
  <c r="G161" i="8"/>
  <c r="AE161" i="8" s="1"/>
  <c r="BJ116" i="16"/>
  <c r="E162" i="8"/>
  <c r="I162" i="8"/>
  <c r="F162" i="8"/>
  <c r="C162" i="8"/>
  <c r="G162" i="8"/>
  <c r="H162" i="8"/>
  <c r="D162" i="8"/>
  <c r="CL109" i="16"/>
  <c r="J160" i="8"/>
  <c r="G200" i="6"/>
  <c r="T158" i="11"/>
  <c r="U158" i="11"/>
  <c r="X158" i="11" s="1"/>
  <c r="AD158" i="11" s="1"/>
  <c r="AB162" i="17"/>
  <c r="L162" i="16"/>
  <c r="AB162" i="16"/>
  <c r="H162" i="16"/>
  <c r="BE116" i="16"/>
  <c r="BZ104" i="11"/>
  <c r="BM34" i="6" s="1"/>
  <c r="CL109" i="11"/>
  <c r="CL109" i="17"/>
  <c r="Z161" i="16"/>
  <c r="AC186" i="17"/>
  <c r="AD186" i="17"/>
  <c r="AB202" i="16"/>
  <c r="AU119" i="16"/>
  <c r="AT119" i="16"/>
  <c r="CD104" i="11"/>
  <c r="CD34" i="6" s="1"/>
  <c r="CB104" i="11"/>
  <c r="CB34" i="6" s="1"/>
  <c r="AK149" i="16"/>
  <c r="K275" i="9"/>
  <c r="AB202" i="17"/>
  <c r="L202" i="17"/>
  <c r="BB113" i="11"/>
  <c r="X187" i="17"/>
  <c r="AM187" i="17"/>
  <c r="AL187" i="17"/>
  <c r="T189" i="17"/>
  <c r="U189" i="17"/>
  <c r="CE104" i="17"/>
  <c r="CM34" i="6" s="1"/>
  <c r="CC104" i="17"/>
  <c r="U188" i="17"/>
  <c r="T188" i="17"/>
  <c r="AX106" i="16"/>
  <c r="BB106" i="16"/>
  <c r="AY106" i="16"/>
  <c r="AW112" i="11"/>
  <c r="AU112" i="11"/>
  <c r="Z161" i="11"/>
  <c r="V109" i="11"/>
  <c r="Y109" i="11" s="1"/>
  <c r="Z109" i="11" s="1"/>
  <c r="AA109" i="11" s="1"/>
  <c r="AT118" i="16"/>
  <c r="AY118" i="16"/>
  <c r="AX118" i="16"/>
  <c r="BA118" i="16"/>
  <c r="BB118" i="16"/>
  <c r="AZ118" i="16"/>
  <c r="AW118" i="16"/>
  <c r="AU118" i="16"/>
  <c r="AV118" i="16"/>
  <c r="AS118" i="16"/>
  <c r="AR118" i="16"/>
  <c r="CD103" i="17"/>
  <c r="CL33" i="6" s="1"/>
  <c r="CB103" i="17"/>
  <c r="CJ33" i="6" s="1"/>
  <c r="AC153" i="11"/>
  <c r="V153" i="11" s="1"/>
  <c r="W153" i="11" s="1"/>
  <c r="AE185" i="17"/>
  <c r="V185" i="17"/>
  <c r="W185" i="17" s="1"/>
  <c r="AH185" i="17"/>
  <c r="AI185" i="17"/>
  <c r="AG185" i="17"/>
  <c r="AF185" i="17"/>
  <c r="AN195" i="16"/>
  <c r="AO195" i="16" s="1"/>
  <c r="AN196" i="17"/>
  <c r="AO196" i="17" s="1"/>
  <c r="H201" i="16"/>
  <c r="CE113" i="11"/>
  <c r="AK200" i="17"/>
  <c r="M200" i="17"/>
  <c r="CC115" i="11"/>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BI116" i="16"/>
  <c r="P149" i="17"/>
  <c r="Q149" i="17" s="1"/>
  <c r="R149" i="17" s="1"/>
  <c r="S149" i="17" s="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P189" i="16"/>
  <c r="Q189" i="16" s="1"/>
  <c r="R189" i="16" s="1"/>
  <c r="S189"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BL115" i="16"/>
  <c r="BL103" i="17"/>
  <c r="AL156" i="11"/>
  <c r="AM156" i="11"/>
  <c r="X106" i="3" s="1"/>
  <c r="AK160" i="11"/>
  <c r="K161" i="17"/>
  <c r="M161" i="17" s="1"/>
  <c r="AC151" i="11"/>
  <c r="CM107" i="17"/>
  <c r="AL154" i="11"/>
  <c r="AM154" i="11"/>
  <c r="X104" i="3" s="1"/>
  <c r="Z107" i="16"/>
  <c r="AA107" i="16" s="1"/>
  <c r="AG152" i="11"/>
  <c r="CL120" i="16"/>
  <c r="BH116" i="16"/>
  <c r="BK116" i="16"/>
  <c r="BD116" i="16"/>
  <c r="B203" i="9"/>
  <c r="H203" i="9" s="1"/>
  <c r="AI118" i="16"/>
  <c r="B170" i="9" s="1"/>
  <c r="V121" i="11"/>
  <c r="BL104" i="16"/>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BQ52" i="6"/>
  <c r="T122" i="17"/>
  <c r="Q122" i="17"/>
  <c r="U122" i="17"/>
  <c r="R122" i="17"/>
  <c r="CA121" i="16"/>
  <c r="BT51" i="6" s="1"/>
  <c r="H236" i="9"/>
  <c r="AM153" i="11"/>
  <c r="X103" i="3" s="1"/>
  <c r="AL153" i="11"/>
  <c r="BL104" i="17"/>
  <c r="AN195" i="11"/>
  <c r="AO195" i="11" s="1"/>
  <c r="CL120" i="11"/>
  <c r="AJ118" i="16"/>
  <c r="AC154" i="11"/>
  <c r="K172" i="9"/>
  <c r="AK161" i="16"/>
  <c r="BC105" i="16"/>
  <c r="BE105" i="16" s="1"/>
  <c r="AH108" i="17"/>
  <c r="Y108" i="17"/>
  <c r="AH193" i="11"/>
  <c r="AG193" i="11"/>
  <c r="AI193" i="11"/>
  <c r="AF193" i="11"/>
  <c r="CB103" i="16"/>
  <c r="CF33" i="6" s="1"/>
  <c r="CD103" i="16"/>
  <c r="CH33" i="6" s="1"/>
  <c r="AQ103" i="17"/>
  <c r="BZ103" i="17"/>
  <c r="BY33" i="6" s="1"/>
  <c r="Y120" i="17"/>
  <c r="AK199" i="11"/>
  <c r="CL122" i="17"/>
  <c r="AH153" i="11"/>
  <c r="AI153" i="11"/>
  <c r="AJ191" i="11"/>
  <c r="K241" i="9"/>
  <c r="K207" i="9"/>
  <c r="AI118" i="11"/>
  <c r="B101" i="9"/>
  <c r="H101" i="9" s="1"/>
  <c r="B135" i="9"/>
  <c r="H135" i="9" s="1"/>
  <c r="AC157" i="11"/>
  <c r="AJ119" i="16"/>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BL35" i="6"/>
  <c r="AE105" i="11"/>
  <c r="B237" i="9"/>
  <c r="B271" i="9"/>
  <c r="AI118" i="17"/>
  <c r="AL106" i="16"/>
  <c r="AC156" i="11"/>
  <c r="V121" i="16"/>
  <c r="M161" i="11"/>
  <c r="K200" i="11"/>
  <c r="M200" i="11" s="1"/>
  <c r="H200" i="11"/>
  <c r="Z119" i="17"/>
  <c r="AA119" i="17" s="1"/>
  <c r="AB119" i="17" s="1"/>
  <c r="AL118" i="16"/>
  <c r="AC192" i="11"/>
  <c r="AC155" i="11"/>
  <c r="AM157" i="11"/>
  <c r="X107" i="3" s="1"/>
  <c r="AL157" i="11"/>
  <c r="K200" i="16"/>
  <c r="AK200" i="16" s="1"/>
  <c r="AK105" i="16"/>
  <c r="AF105" i="16" s="1"/>
  <c r="BF116" i="16"/>
  <c r="X95" i="19"/>
  <c r="V121" i="17"/>
  <c r="AL155" i="11"/>
  <c r="AM155" i="11"/>
  <c r="X105" i="3" s="1"/>
  <c r="AH105" i="19"/>
  <c r="AH96" i="19"/>
  <c r="AH105" i="18"/>
  <c r="CE41" i="6"/>
  <c r="CE39" i="6"/>
  <c r="CM103" i="11"/>
  <c r="O31" i="6"/>
  <c r="S31" i="6" s="1"/>
  <c r="Z30" i="6" s="1"/>
  <c r="BJ34" i="6"/>
  <c r="I32" i="6"/>
  <c r="H166" i="6"/>
  <c r="H32" i="6"/>
  <c r="I166" i="6"/>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F160" i="8"/>
  <c r="X160" i="8"/>
  <c r="P160" i="8"/>
  <c r="S160" i="8"/>
  <c r="K160" i="8"/>
  <c r="AA160" i="8"/>
  <c r="AB160" i="8"/>
  <c r="T160" i="8"/>
  <c r="L160" i="8"/>
  <c r="AD160" i="8"/>
  <c r="V160" i="8"/>
  <c r="N160" i="8"/>
  <c r="W160" i="8"/>
  <c r="AE160" i="8"/>
  <c r="O160" i="8"/>
  <c r="AC160" i="8"/>
  <c r="U160" i="8"/>
  <c r="M160" i="8"/>
  <c r="AD127" i="8"/>
  <c r="N127" i="8"/>
  <c r="V127" i="8"/>
  <c r="Y127" i="8"/>
  <c r="AG127" i="8"/>
  <c r="AB127" i="8"/>
  <c r="T127" i="8"/>
  <c r="L127" i="8"/>
  <c r="AE127" i="8"/>
  <c r="W127" i="8"/>
  <c r="O127" i="8"/>
  <c r="X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K93" i="19"/>
  <c r="CF34" i="6"/>
  <c r="CH34" i="6"/>
  <c r="J92" i="19"/>
  <c r="CL34" i="6"/>
  <c r="CJ34" i="6"/>
  <c r="AV111" i="19"/>
  <c r="E92" i="19"/>
  <c r="K92" i="19"/>
  <c r="I93" i="19"/>
  <c r="CC38" i="6"/>
  <c r="G122" i="17"/>
  <c r="AR112" i="19" s="1"/>
  <c r="AU112" i="19" s="1"/>
  <c r="AW112" i="19" s="1"/>
  <c r="F92" i="19"/>
  <c r="H93" i="19"/>
  <c r="BY32" i="6"/>
  <c r="E93" i="19"/>
  <c r="F93" i="19"/>
  <c r="H92" i="19"/>
  <c r="AB40" i="3"/>
  <c r="AD40" i="3" s="1"/>
  <c r="AA41" i="3"/>
  <c r="AC94" i="3"/>
  <c r="AB94" i="3"/>
  <c r="AV215" i="7"/>
  <c r="J220" i="6" s="1"/>
  <c r="P220" i="6" s="1"/>
  <c r="T220" i="6" s="1"/>
  <c r="BE49" i="6" s="1"/>
  <c r="M21" i="23"/>
  <c r="K19" i="23"/>
  <c r="K22" i="23"/>
  <c r="L21"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J93" i="19"/>
  <c r="G93" i="19"/>
  <c r="G92" i="19"/>
  <c r="AB95" i="3"/>
  <c r="AC95" i="3"/>
  <c r="D34" i="6"/>
  <c r="M18" i="23" s="1"/>
  <c r="E34" i="6"/>
  <c r="N34" i="6" s="1"/>
  <c r="I92" i="19"/>
  <c r="AK106" i="11"/>
  <c r="F68" i="6"/>
  <c r="D68" i="6"/>
  <c r="M68" i="6" s="1"/>
  <c r="E68" i="6"/>
  <c r="AK96" i="3"/>
  <c r="B128" i="8"/>
  <c r="A204" i="17"/>
  <c r="A225" i="6"/>
  <c r="A157" i="6"/>
  <c r="A89" i="6"/>
  <c r="O200" i="6"/>
  <c r="S200" i="6" s="1"/>
  <c r="BD29" i="6" s="1"/>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AJ113" i="11" l="1"/>
  <c r="AZ113" i="11"/>
  <c r="BA113" i="11"/>
  <c r="AV113" i="11"/>
  <c r="AL113" i="11"/>
  <c r="AS113" i="11"/>
  <c r="AW113" i="11"/>
  <c r="AT113" i="11"/>
  <c r="AR113" i="11"/>
  <c r="AU113" i="11"/>
  <c r="AG153" i="11"/>
  <c r="AH152" i="11"/>
  <c r="AF152" i="11"/>
  <c r="V152" i="11"/>
  <c r="W152" i="11" s="1"/>
  <c r="AF153" i="11"/>
  <c r="AI152" i="11"/>
  <c r="D93" i="18"/>
  <c r="S127" i="8"/>
  <c r="BG105" i="16"/>
  <c r="AQ103" i="16"/>
  <c r="BC105" i="17"/>
  <c r="BH105" i="17" s="1"/>
  <c r="H162" i="17"/>
  <c r="Y162" i="17"/>
  <c r="BV105" i="16"/>
  <c r="BV106" i="11"/>
  <c r="BY106" i="11"/>
  <c r="BL36" i="6" s="1"/>
  <c r="I163" i="16"/>
  <c r="BX123" i="16"/>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R127" i="8" s="1"/>
  <c r="G135" i="6" s="1"/>
  <c r="AO36" i="6"/>
  <c r="AU36" i="6"/>
  <c r="BC116" i="17"/>
  <c r="AD119" i="17"/>
  <c r="AU119" i="17" s="1"/>
  <c r="AC119" i="17"/>
  <c r="AB107" i="16"/>
  <c r="AB107" i="17"/>
  <c r="AD106" i="17"/>
  <c r="AC106" i="17"/>
  <c r="E92" i="18"/>
  <c r="BL102" i="16"/>
  <c r="AD118" i="17"/>
  <c r="AC118" i="17"/>
  <c r="BF103" i="16"/>
  <c r="BE103" i="16"/>
  <c r="BD103" i="16"/>
  <c r="BK103" i="16"/>
  <c r="BG103" i="16"/>
  <c r="BI103" i="16"/>
  <c r="BJ103" i="16"/>
  <c r="J93" i="18" s="1"/>
  <c r="BH103" i="16"/>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H163" i="16"/>
  <c r="AB163" i="16"/>
  <c r="L163" i="16"/>
  <c r="CD105" i="11"/>
  <c r="CD35" i="6" s="1"/>
  <c r="CB105" i="11"/>
  <c r="CB35" i="6" s="1"/>
  <c r="V122" i="16"/>
  <c r="CC105" i="17"/>
  <c r="CE105" i="17"/>
  <c r="CM35" i="6" s="1"/>
  <c r="V186" i="17"/>
  <c r="W186" i="17" s="1"/>
  <c r="AG186" i="17"/>
  <c r="AI186" i="17"/>
  <c r="AH186" i="17"/>
  <c r="AF186" i="17"/>
  <c r="AB203" i="17"/>
  <c r="L203" i="17"/>
  <c r="AY115" i="11"/>
  <c r="AV115" i="11"/>
  <c r="AS115" i="11"/>
  <c r="AN158" i="17"/>
  <c r="AO158" i="17" s="1"/>
  <c r="AJ156" i="17"/>
  <c r="AK201" i="17"/>
  <c r="AN187" i="17"/>
  <c r="AO187" i="17" s="1"/>
  <c r="AK200" i="11"/>
  <c r="AN196" i="16"/>
  <c r="AO196" i="16" s="1"/>
  <c r="AJ194" i="16"/>
  <c r="AN196" i="11"/>
  <c r="AO196" i="11" s="1"/>
  <c r="CC116" i="1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BL116" i="16"/>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J15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K162" i="16"/>
  <c r="AN192" i="11"/>
  <c r="AO192" i="11" s="1"/>
  <c r="BD105" i="17"/>
  <c r="Y121" i="16"/>
  <c r="Z121" i="16" s="1"/>
  <c r="AA121" i="16" s="1"/>
  <c r="AI158" i="11"/>
  <c r="Y121" i="11"/>
  <c r="Z121" i="11" s="1"/>
  <c r="R160" i="11"/>
  <c r="S160" i="11" s="1"/>
  <c r="T160" i="11" s="1"/>
  <c r="CH124" i="17"/>
  <c r="CK124" i="17"/>
  <c r="CG124" i="17"/>
  <c r="CJ124" i="17"/>
  <c r="CI124" i="17"/>
  <c r="S124" i="17"/>
  <c r="K124" i="17"/>
  <c r="AG116" i="11"/>
  <c r="K116" i="11"/>
  <c r="AA116" i="11"/>
  <c r="AB116" i="11" s="1"/>
  <c r="C96" i="3"/>
  <c r="BI36" i="6"/>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BI105" i="16"/>
  <c r="BD105" i="16"/>
  <c r="BK105" i="16"/>
  <c r="V154" i="11"/>
  <c r="W154" i="11" s="1"/>
  <c r="AH154" i="11"/>
  <c r="AI154" i="11"/>
  <c r="AG154" i="11"/>
  <c r="AF154" i="11"/>
  <c r="K201" i="16"/>
  <c r="AK201" i="16" s="1"/>
  <c r="B204" i="9"/>
  <c r="AI119" i="16"/>
  <c r="B171" i="9" s="1"/>
  <c r="Z120" i="16"/>
  <c r="AA120" i="16" s="1"/>
  <c r="BF105" i="17"/>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H159" i="11"/>
  <c r="AN191" i="11"/>
  <c r="AO191" i="11" s="1"/>
  <c r="K174" i="9"/>
  <c r="BJ105" i="16"/>
  <c r="AJ152" i="11"/>
  <c r="V151" i="11"/>
  <c r="W151" i="11" s="1"/>
  <c r="AH151" i="11"/>
  <c r="AG151" i="11"/>
  <c r="AI151" i="11"/>
  <c r="AF151" i="11"/>
  <c r="CL121" i="11"/>
  <c r="AH109" i="16"/>
  <c r="Y109" i="16"/>
  <c r="L203" i="16"/>
  <c r="Z203" i="16"/>
  <c r="BQ53" i="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BD117" i="17"/>
  <c r="BK117" i="17"/>
  <c r="K107" i="19" s="1"/>
  <c r="X96" i="18"/>
  <c r="BC118" i="16"/>
  <c r="BH118" i="16" s="1"/>
  <c r="AP105" i="17"/>
  <c r="AH109" i="17"/>
  <c r="Y109" i="17"/>
  <c r="BF105" i="16"/>
  <c r="X108" i="19"/>
  <c r="P161" i="11"/>
  <c r="Q161" i="11" s="1"/>
  <c r="BE105" i="17"/>
  <c r="AN156" i="11"/>
  <c r="AO156" i="11" s="1"/>
  <c r="K162" i="17"/>
  <c r="AK162" i="17" s="1"/>
  <c r="AN152" i="11"/>
  <c r="AO152" i="11" s="1"/>
  <c r="X97" i="19"/>
  <c r="AE158" i="11"/>
  <c r="BH105" i="16"/>
  <c r="O166" i="6"/>
  <c r="S166" i="6" s="1"/>
  <c r="AX29" i="6" s="1"/>
  <c r="AH97" i="19"/>
  <c r="AH107" i="19"/>
  <c r="AH106" i="19"/>
  <c r="AH106" i="18"/>
  <c r="S127" i="9"/>
  <c r="S129" i="9"/>
  <c r="H133" i="6"/>
  <c r="CM110" i="11"/>
  <c r="CM104" i="11"/>
  <c r="O32" i="6"/>
  <c r="S32" i="6" s="1"/>
  <c r="Z31" i="6" s="1"/>
  <c r="BM35" i="6"/>
  <c r="O132" i="6"/>
  <c r="S132" i="6" s="1"/>
  <c r="AR29" i="6" s="1"/>
  <c r="H67" i="6"/>
  <c r="O67" i="6" s="1"/>
  <c r="S67" i="6" s="1"/>
  <c r="AF32" i="6" s="1"/>
  <c r="U135" i="9"/>
  <c r="H201" i="6"/>
  <c r="G99" i="6"/>
  <c r="O99" i="6" s="1"/>
  <c r="S99" i="6" s="1"/>
  <c r="AL30" i="6" s="1"/>
  <c r="W128" i="9"/>
  <c r="G33" i="6"/>
  <c r="L16" i="23" s="1"/>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Z127" i="8"/>
  <c r="H101" i="6" s="1"/>
  <c r="AH160" i="8"/>
  <c r="I168" i="6" s="1"/>
  <c r="Z94" i="8"/>
  <c r="H34" i="6" s="1"/>
  <c r="R94" i="8"/>
  <c r="G34" i="6" s="1"/>
  <c r="M16" i="23"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H127" i="8"/>
  <c r="I101" i="6" s="1"/>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V128" i="8"/>
  <c r="J164" i="9"/>
  <c r="N93" i="18"/>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K93" i="18"/>
  <c r="I93" i="18"/>
  <c r="G93" i="18"/>
  <c r="H93" i="18"/>
  <c r="F93" i="18"/>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N18" i="23" s="1"/>
  <c r="A187" i="7"/>
  <c r="A165" i="17"/>
  <c r="A125" i="17"/>
  <c r="A124" i="6"/>
  <c r="A165" i="16"/>
  <c r="A125" i="16"/>
  <c r="A125" i="11"/>
  <c r="A165" i="11"/>
  <c r="AQ105" i="11"/>
  <c r="AO106" i="11"/>
  <c r="AM106" i="11"/>
  <c r="BZ106" i="11" s="1"/>
  <c r="A153" i="7"/>
  <c r="A56" i="6"/>
  <c r="W55" i="6" s="1"/>
  <c r="BH55" i="6" s="1"/>
  <c r="A146" i="4"/>
  <c r="A115" i="3"/>
  <c r="AF159" i="11" l="1"/>
  <c r="V159" i="11"/>
  <c r="W159" i="11" s="1"/>
  <c r="AH158" i="11"/>
  <c r="AI159" i="11"/>
  <c r="AG158" i="11"/>
  <c r="V158" i="11"/>
  <c r="W158" i="11" s="1"/>
  <c r="AE159" i="11"/>
  <c r="AT114" i="11"/>
  <c r="BI105" i="17"/>
  <c r="BL105" i="17" s="1"/>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BX124" i="16"/>
  <c r="BC106" i="16"/>
  <c r="BH106" i="16" s="1"/>
  <c r="K277" i="9"/>
  <c r="BW105" i="17"/>
  <c r="BV106" i="16"/>
  <c r="K163" i="16"/>
  <c r="M163" i="16" s="1"/>
  <c r="Y163" i="16"/>
  <c r="H163" i="17"/>
  <c r="Y163" i="17"/>
  <c r="BV107" i="11"/>
  <c r="BY107" i="11"/>
  <c r="BW106" i="11"/>
  <c r="BJ36" i="6" s="1"/>
  <c r="AE146" i="17"/>
  <c r="AE196" i="16"/>
  <c r="AE186" i="16"/>
  <c r="BY106" i="16"/>
  <c r="AE187" i="17"/>
  <c r="BC119" i="16"/>
  <c r="BI106" i="16"/>
  <c r="BI117" i="16"/>
  <c r="I107" i="18" s="1"/>
  <c r="BF117" i="16"/>
  <c r="F107" i="18" s="1"/>
  <c r="BG117" i="16"/>
  <c r="G107" i="18" s="1"/>
  <c r="BD117" i="16"/>
  <c r="BJ117" i="16"/>
  <c r="J107" i="18" s="1"/>
  <c r="AU115" i="11"/>
  <c r="BA115" i="11"/>
  <c r="AL119" i="17"/>
  <c r="AT119" i="17"/>
  <c r="AS119" i="17"/>
  <c r="AX119" i="17"/>
  <c r="I135" i="6"/>
  <c r="M162" i="11"/>
  <c r="AW115" i="11"/>
  <c r="AZ115" i="11"/>
  <c r="BB119" i="17"/>
  <c r="AZ119" i="17"/>
  <c r="AW119" i="17"/>
  <c r="BH117" i="16"/>
  <c r="H107" i="18" s="1"/>
  <c r="W135" i="9"/>
  <c r="AJ115" i="11"/>
  <c r="AR115" i="11"/>
  <c r="BB115" i="11"/>
  <c r="AT115" i="11"/>
  <c r="AY119" i="17"/>
  <c r="BG48" i="6"/>
  <c r="BA48" i="6"/>
  <c r="BG36" i="6"/>
  <c r="BA36" i="6"/>
  <c r="BG49" i="6"/>
  <c r="BA49" i="6"/>
  <c r="BE117" i="16"/>
  <c r="BK117" i="16"/>
  <c r="K107" i="18" s="1"/>
  <c r="L92" i="18"/>
  <c r="P92" i="18"/>
  <c r="Q92" i="18" s="1"/>
  <c r="AD107" i="16"/>
  <c r="AC107" i="16"/>
  <c r="AB120" i="16"/>
  <c r="AB121" i="16"/>
  <c r="AD108" i="17"/>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BF106" i="16"/>
  <c r="AP106" i="16"/>
  <c r="B131" i="8" s="1"/>
  <c r="H131" i="8" s="1"/>
  <c r="J128" i="8"/>
  <c r="AN147" i="17"/>
  <c r="AO147" i="17" s="1"/>
  <c r="F163" i="8"/>
  <c r="C163" i="8"/>
  <c r="G163" i="8"/>
  <c r="D163" i="8"/>
  <c r="H163" i="8"/>
  <c r="E163" i="8"/>
  <c r="AC163" i="8" s="1"/>
  <c r="I163" i="8"/>
  <c r="D129" i="8"/>
  <c r="F129" i="8"/>
  <c r="V129" i="8" s="1"/>
  <c r="H129" i="8"/>
  <c r="C129" i="8"/>
  <c r="E129" i="8"/>
  <c r="G129" i="8"/>
  <c r="I129" i="8"/>
  <c r="BJ106" i="16"/>
  <c r="AJ186" i="17"/>
  <c r="AB204" i="17"/>
  <c r="L204" i="17"/>
  <c r="AJ157" i="17"/>
  <c r="AJ196" i="17"/>
  <c r="Z163" i="16"/>
  <c r="AD189" i="17"/>
  <c r="AC189" i="17"/>
  <c r="AB164" i="17"/>
  <c r="BB120" i="17"/>
  <c r="BZ105" i="17"/>
  <c r="CD106" i="11"/>
  <c r="CD36" i="6" s="1"/>
  <c r="CB106" i="11"/>
  <c r="CB36" i="6" s="1"/>
  <c r="BB116" i="11"/>
  <c r="AV116" i="11"/>
  <c r="AL108" i="17"/>
  <c r="AX108" i="17"/>
  <c r="AV108" i="17"/>
  <c r="AU108" i="17"/>
  <c r="AW108" i="17"/>
  <c r="AS108" i="17"/>
  <c r="AR108" i="17"/>
  <c r="AY108" i="17"/>
  <c r="BB108" i="17"/>
  <c r="BA108" i="17"/>
  <c r="AT108" i="17"/>
  <c r="AZ108" i="17"/>
  <c r="AD188" i="17"/>
  <c r="AC188" i="17"/>
  <c r="AB204" i="16"/>
  <c r="AQ105" i="16"/>
  <c r="CD105" i="17"/>
  <c r="CL35" i="6" s="1"/>
  <c r="CB105" i="17"/>
  <c r="CJ35" i="6" s="1"/>
  <c r="AW108" i="16"/>
  <c r="AV108" i="16"/>
  <c r="AX108" i="16"/>
  <c r="AU108" i="16"/>
  <c r="AS108" i="16"/>
  <c r="AR108" i="16"/>
  <c r="AT108" i="16"/>
  <c r="BB108" i="16"/>
  <c r="AZ108" i="16"/>
  <c r="AY108" i="16"/>
  <c r="BA108" i="16"/>
  <c r="L164" i="16"/>
  <c r="AB164" i="16"/>
  <c r="H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BL105" i="16"/>
  <c r="BJ118" i="16"/>
  <c r="BE118" i="16"/>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8" i="11"/>
  <c r="AJ159" i="1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BF118" i="16"/>
  <c r="BH119" i="16"/>
  <c r="BD119" i="16"/>
  <c r="BK119" i="16"/>
  <c r="CL122" i="11"/>
  <c r="BG106" i="16"/>
  <c r="BD106" i="16"/>
  <c r="BK106" i="16"/>
  <c r="M162" i="17"/>
  <c r="K202" i="16"/>
  <c r="AK202" i="16" s="1"/>
  <c r="CL124" i="17"/>
  <c r="AJ108" i="16"/>
  <c r="AH112" i="11"/>
  <c r="AK111" i="11"/>
  <c r="CA123" i="16"/>
  <c r="BT53" i="6" s="1"/>
  <c r="CJ123" i="11"/>
  <c r="CG123" i="11"/>
  <c r="CK123" i="11"/>
  <c r="CH123" i="11"/>
  <c r="CI123" i="11"/>
  <c r="L204" i="11"/>
  <c r="AB204" i="11"/>
  <c r="Z204" i="11"/>
  <c r="R124" i="17"/>
  <c r="T124" i="17"/>
  <c r="Q124" i="17"/>
  <c r="U124" i="17"/>
  <c r="AM198" i="11"/>
  <c r="AH108" i="3" s="1"/>
  <c r="AL198" i="11"/>
  <c r="Z109" i="17"/>
  <c r="AA109" i="17" s="1"/>
  <c r="BK118" i="16"/>
  <c r="BD118" i="16"/>
  <c r="Z121" i="17"/>
  <c r="AA121" i="17" s="1"/>
  <c r="AB121" i="17" s="1"/>
  <c r="AK163" i="16"/>
  <c r="B205" i="9"/>
  <c r="AI120" i="16"/>
  <c r="B172" i="9" s="1"/>
  <c r="BJ119" i="16"/>
  <c r="CL122" i="16"/>
  <c r="BI119" i="16"/>
  <c r="AN159" i="11"/>
  <c r="AO159" i="11" s="1"/>
  <c r="I164" i="11"/>
  <c r="Y164" i="11" s="1"/>
  <c r="BK54" i="6"/>
  <c r="BQ54" i="6"/>
  <c r="CA123" i="17"/>
  <c r="BZ53" i="6" s="1"/>
  <c r="CJ123" i="16"/>
  <c r="CI123" i="16"/>
  <c r="CH123" i="16"/>
  <c r="CK123" i="16"/>
  <c r="CG123" i="16"/>
  <c r="K123" i="16"/>
  <c r="Z204" i="17"/>
  <c r="U124" i="16"/>
  <c r="Q124" i="16"/>
  <c r="T124" i="16"/>
  <c r="S124" i="16"/>
  <c r="R124" i="16"/>
  <c r="F164" i="17"/>
  <c r="F164" i="16"/>
  <c r="F204" i="16"/>
  <c r="F164" i="11"/>
  <c r="F204" i="17"/>
  <c r="F204" i="11"/>
  <c r="C97" i="3"/>
  <c r="BL37" i="6"/>
  <c r="BI37" i="6"/>
  <c r="AE107" i="11"/>
  <c r="AH110" i="17"/>
  <c r="CM109" i="17"/>
  <c r="AJ196" i="11"/>
  <c r="Z109" i="16"/>
  <c r="AA109" i="16" s="1"/>
  <c r="Y122" i="17"/>
  <c r="AJ155" i="11"/>
  <c r="AJ192" i="11"/>
  <c r="AN197" i="11"/>
  <c r="AO197" i="11" s="1"/>
  <c r="Y122" i="16"/>
  <c r="K163" i="11"/>
  <c r="M163" i="11" s="1"/>
  <c r="BG118" i="16"/>
  <c r="AJ108" i="17"/>
  <c r="BG119" i="16"/>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F119" i="16"/>
  <c r="B273" i="9"/>
  <c r="B239" i="9"/>
  <c r="AI120" i="17"/>
  <c r="BE119" i="16"/>
  <c r="K163" i="17"/>
  <c r="M163" i="17" s="1"/>
  <c r="K202" i="11"/>
  <c r="M202" i="11" s="1"/>
  <c r="BI118" i="16"/>
  <c r="BE106" i="16"/>
  <c r="P162" i="11"/>
  <c r="Q162" i="11" s="1"/>
  <c r="AM106" i="17"/>
  <c r="V123" i="17"/>
  <c r="K141" i="9"/>
  <c r="AL108" i="16"/>
  <c r="AK201" i="11"/>
  <c r="I202" i="6"/>
  <c r="AH98" i="19"/>
  <c r="AH107" i="18"/>
  <c r="P130" i="9"/>
  <c r="T130" i="9" s="1"/>
  <c r="CE43" i="6"/>
  <c r="H168" i="6"/>
  <c r="O168" i="6" s="1"/>
  <c r="S168" i="6" s="1"/>
  <c r="AX31" i="6" s="1"/>
  <c r="CM105" i="11"/>
  <c r="BM36" i="6"/>
  <c r="H68" i="6"/>
  <c r="I68" i="6"/>
  <c r="U129" i="9"/>
  <c r="O134" i="6"/>
  <c r="S134" i="6" s="1"/>
  <c r="AR31" i="6" s="1"/>
  <c r="G101" i="6"/>
  <c r="O101" i="6" s="1"/>
  <c r="S101" i="6" s="1"/>
  <c r="AL32" i="6" s="1"/>
  <c r="O33" i="6"/>
  <c r="S33" i="6" s="1"/>
  <c r="Z32" i="6" s="1"/>
  <c r="G68" i="6"/>
  <c r="Z162" i="8"/>
  <c r="H170" i="6" s="1"/>
  <c r="Z161" i="8"/>
  <c r="H203" i="6" s="1"/>
  <c r="Z95" i="8"/>
  <c r="H35" i="6" s="1"/>
  <c r="G202" i="6"/>
  <c r="Q130" i="9"/>
  <c r="U130" i="9" s="1"/>
  <c r="H135" i="6"/>
  <c r="O135" i="6" s="1"/>
  <c r="S135" i="6" s="1"/>
  <c r="AR32" i="6"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19" i="23"/>
  <c r="M22" i="23"/>
  <c r="N21"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F82" i="6"/>
  <c r="AK99" i="3"/>
  <c r="D75" i="6"/>
  <c r="M75" i="6" s="1"/>
  <c r="E75" i="6"/>
  <c r="F75" i="6"/>
  <c r="AL97" i="3"/>
  <c r="AM97" i="3"/>
  <c r="AM95" i="19"/>
  <c r="AL95" i="19"/>
  <c r="F37" i="6"/>
  <c r="P21" i="23" s="1"/>
  <c r="D70" i="6"/>
  <c r="M70" i="6" s="1"/>
  <c r="F70" i="6"/>
  <c r="E70" i="6"/>
  <c r="E107" i="18"/>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P107" i="19" l="1"/>
  <c r="BL106" i="16"/>
  <c r="AZ120" i="17"/>
  <c r="AJ120" i="17"/>
  <c r="AW120" i="17"/>
  <c r="AY120" i="17"/>
  <c r="AS120" i="17"/>
  <c r="AU120" i="17"/>
  <c r="AT120" i="17"/>
  <c r="AX120" i="17"/>
  <c r="AL120" i="17"/>
  <c r="BA120" i="17"/>
  <c r="AR120" i="17"/>
  <c r="BC119" i="17"/>
  <c r="BF119" i="17" s="1"/>
  <c r="F109" i="19" s="1"/>
  <c r="L107" i="19"/>
  <c r="AE106" i="17"/>
  <c r="AN106" i="17"/>
  <c r="C96" i="19"/>
  <c r="BL117" i="17"/>
  <c r="BV108" i="11"/>
  <c r="BY108" i="11"/>
  <c r="BL38" i="6" s="1"/>
  <c r="I165" i="16"/>
  <c r="BX125" i="16"/>
  <c r="BY110" i="11"/>
  <c r="BL40" i="6" s="1"/>
  <c r="BW110" i="11"/>
  <c r="BV110" i="11"/>
  <c r="AF106" i="17"/>
  <c r="BY106" i="17"/>
  <c r="BV106" i="17"/>
  <c r="BY111" i="11"/>
  <c r="BV111" i="11"/>
  <c r="BW106" i="17"/>
  <c r="K164" i="16"/>
  <c r="M164" i="16" s="1"/>
  <c r="Y164" i="16"/>
  <c r="AE148" i="16"/>
  <c r="AE159" i="16"/>
  <c r="AE197" i="16"/>
  <c r="AE187" i="16"/>
  <c r="AE188" i="17"/>
  <c r="AE199" i="17"/>
  <c r="AP106" i="17"/>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AP107" i="16"/>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AL121" i="17"/>
  <c r="AV121" i="17"/>
  <c r="AX121" i="17"/>
  <c r="AU121" i="17"/>
  <c r="AS121" i="17"/>
  <c r="AR121" i="17"/>
  <c r="AZ121" i="17"/>
  <c r="AT121" i="17"/>
  <c r="BA121" i="17"/>
  <c r="BB121" i="17"/>
  <c r="AY121" i="17"/>
  <c r="Z164" i="16"/>
  <c r="BC108" i="17"/>
  <c r="BF108" i="17" s="1"/>
  <c r="AE189" i="17"/>
  <c r="AG189" i="17"/>
  <c r="AH189" i="17"/>
  <c r="V189" i="17"/>
  <c r="W189" i="17" s="1"/>
  <c r="AI189" i="17"/>
  <c r="AF189" i="17"/>
  <c r="CD107" i="11"/>
  <c r="CD37" i="6" s="1"/>
  <c r="CB107" i="11"/>
  <c r="CB37" i="6" s="1"/>
  <c r="AN149" i="16"/>
  <c r="AO149" i="16" s="1"/>
  <c r="AN148" i="16"/>
  <c r="AO148" i="16" s="1"/>
  <c r="K278" i="9"/>
  <c r="H165" i="16"/>
  <c r="AB165" i="16"/>
  <c r="L165" i="16"/>
  <c r="AB205" i="16"/>
  <c r="CD106" i="17"/>
  <c r="CL36" i="6" s="1"/>
  <c r="CB106" i="17"/>
  <c r="CJ36" i="6" s="1"/>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BL118" i="16"/>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K176"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AK108" i="16"/>
  <c r="AF108" i="16" s="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C97" i="18"/>
  <c r="AN107" i="16"/>
  <c r="H164" i="17"/>
  <c r="CL125" i="17"/>
  <c r="AK163" i="11"/>
  <c r="Z122" i="16"/>
  <c r="AA122" i="16" s="1"/>
  <c r="AB122" i="16" s="1"/>
  <c r="C97" i="19"/>
  <c r="AO107" i="17"/>
  <c r="BZ107" i="11"/>
  <c r="BM37" i="6" s="1"/>
  <c r="V124" i="16"/>
  <c r="X98" i="19"/>
  <c r="V124" i="17"/>
  <c r="CL123" i="11"/>
  <c r="C101" i="3"/>
  <c r="BL41" i="6"/>
  <c r="AE111" i="11"/>
  <c r="AN111" i="11"/>
  <c r="AM111" i="11"/>
  <c r="BZ111" i="11" s="1"/>
  <c r="BM41" i="6" s="1"/>
  <c r="AO111" i="11"/>
  <c r="V124" i="11"/>
  <c r="Z165" i="16"/>
  <c r="AH197" i="11"/>
  <c r="AI197" i="11"/>
  <c r="AG197" i="11"/>
  <c r="AF197" i="11"/>
  <c r="AK108" i="17"/>
  <c r="AF108" i="17" s="1"/>
  <c r="K164" i="11"/>
  <c r="AK164" i="11" s="1"/>
  <c r="AH113" i="11"/>
  <c r="AK112" i="11"/>
  <c r="BC108" i="16"/>
  <c r="BE108" i="16" s="1"/>
  <c r="K203" i="11"/>
  <c r="M203" i="11" s="1"/>
  <c r="CA124" i="17"/>
  <c r="BZ54" i="6" s="1"/>
  <c r="CM110" i="16"/>
  <c r="AH111" i="16"/>
  <c r="AK110" i="16"/>
  <c r="CD106" i="16"/>
  <c r="CH36" i="6" s="1"/>
  <c r="CB106" i="16"/>
  <c r="CF36" i="6" s="1"/>
  <c r="AC160" i="11"/>
  <c r="CM110" i="17"/>
  <c r="AH111" i="17"/>
  <c r="AK110" i="17"/>
  <c r="AC199" i="11"/>
  <c r="AM160" i="11"/>
  <c r="X110" i="3" s="1"/>
  <c r="AL160" i="11"/>
  <c r="X110" i="19"/>
  <c r="AJ121" i="17"/>
  <c r="I203" i="6"/>
  <c r="BQ55" i="6"/>
  <c r="CK124" i="16"/>
  <c r="CG124" i="16"/>
  <c r="CJ124" i="16"/>
  <c r="CI124" i="16"/>
  <c r="CH124" i="16"/>
  <c r="K124" i="16"/>
  <c r="R125" i="11"/>
  <c r="U125" i="11"/>
  <c r="S125" i="11"/>
  <c r="Q125" i="11"/>
  <c r="T125" i="11"/>
  <c r="C98" i="3"/>
  <c r="BI38" i="6"/>
  <c r="AE108" i="11"/>
  <c r="Y123" i="17"/>
  <c r="BZ106" i="17"/>
  <c r="BL119" i="16"/>
  <c r="H273" i="9"/>
  <c r="G273" i="9"/>
  <c r="J273" i="9"/>
  <c r="AQ106" i="16"/>
  <c r="Z122" i="17"/>
  <c r="AA122" i="17" s="1"/>
  <c r="AM199" i="11"/>
  <c r="AH109" i="3" s="1"/>
  <c r="AL199" i="11"/>
  <c r="K175" i="9"/>
  <c r="BI119" i="17"/>
  <c r="I109" i="19" s="1"/>
  <c r="AH108" i="19"/>
  <c r="AH108" i="18"/>
  <c r="CE44" i="6"/>
  <c r="G170" i="6"/>
  <c r="O170" i="6" s="1"/>
  <c r="S170" i="6" s="1"/>
  <c r="AX33" i="6" s="1"/>
  <c r="CM111" i="11"/>
  <c r="CM112" i="11"/>
  <c r="CM106" i="11"/>
  <c r="O68" i="6"/>
  <c r="S68" i="6" s="1"/>
  <c r="AF33" i="6" s="1"/>
  <c r="BJ37" i="6"/>
  <c r="AV114" i="19"/>
  <c r="I35" i="6"/>
  <c r="G35" i="6"/>
  <c r="N16" i="23" s="1"/>
  <c r="H169" i="6"/>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O16" i="23"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E96" i="18"/>
  <c r="J95" i="18"/>
  <c r="I95" i="19"/>
  <c r="K101" i="18"/>
  <c r="G95" i="18"/>
  <c r="I101" i="18"/>
  <c r="E95" i="19"/>
  <c r="J95" i="19"/>
  <c r="K95" i="18"/>
  <c r="BX36" i="6"/>
  <c r="H95" i="18"/>
  <c r="K96" i="18"/>
  <c r="I96" i="18"/>
  <c r="E101" i="18"/>
  <c r="H95" i="19"/>
  <c r="J96" i="18"/>
  <c r="G101" i="18"/>
  <c r="AB43" i="3"/>
  <c r="AD43" i="3" s="1"/>
  <c r="AC43" i="3"/>
  <c r="AE43" i="3" s="1"/>
  <c r="AF43" i="3" s="1"/>
  <c r="BC43" i="3" s="1"/>
  <c r="BE43" i="3" s="1"/>
  <c r="BG43" i="3" s="1"/>
  <c r="N36" i="6"/>
  <c r="AA98" i="3"/>
  <c r="AB98" i="3" s="1"/>
  <c r="O18" i="23"/>
  <c r="R35" i="6"/>
  <c r="Y34" i="6" s="1"/>
  <c r="N22" i="23"/>
  <c r="O21"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P18" i="23" s="1"/>
  <c r="AK107" i="3"/>
  <c r="AL107" i="3" s="1"/>
  <c r="O169" i="6"/>
  <c r="S169" i="6" s="1"/>
  <c r="AX32" i="6" s="1"/>
  <c r="AK98" i="19"/>
  <c r="AL101" i="3"/>
  <c r="AM101" i="3"/>
  <c r="AK97" i="19"/>
  <c r="D76" i="6"/>
  <c r="M76" i="6" s="1"/>
  <c r="E76" i="6"/>
  <c r="F76" i="6"/>
  <c r="AK109" i="11"/>
  <c r="D77" i="6"/>
  <c r="M77" i="6" s="1"/>
  <c r="F77" i="6"/>
  <c r="E77" i="6"/>
  <c r="F38" i="6"/>
  <c r="D71" i="6"/>
  <c r="M71" i="6" s="1"/>
  <c r="E71" i="6"/>
  <c r="F71" i="6"/>
  <c r="P107" i="18"/>
  <c r="L107" i="18"/>
  <c r="E100" i="18"/>
  <c r="J101" i="18"/>
  <c r="A207" i="17"/>
  <c r="A228" i="6"/>
  <c r="A160" i="6"/>
  <c r="A92" i="6"/>
  <c r="AL99" i="3"/>
  <c r="AM99" i="3"/>
  <c r="A117" i="19"/>
  <c r="A207" i="11"/>
  <c r="A207" i="16"/>
  <c r="H128" i="17"/>
  <c r="H128" i="16"/>
  <c r="B165" i="8"/>
  <c r="D96" i="19"/>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D102" i="8" l="1"/>
  <c r="AE107" i="17"/>
  <c r="G99" i="8"/>
  <c r="AN107" i="17"/>
  <c r="E99" i="8"/>
  <c r="BC120" i="17"/>
  <c r="U93" i="18"/>
  <c r="V93" i="18" s="1"/>
  <c r="BI93" i="18" s="1"/>
  <c r="M164" i="11"/>
  <c r="AM107" i="17"/>
  <c r="AQ107" i="17" s="1"/>
  <c r="D99" i="8"/>
  <c r="C101" i="8"/>
  <c r="S101" i="8" s="1"/>
  <c r="AO107" i="16"/>
  <c r="AM107" i="16"/>
  <c r="BW107" i="16" s="1"/>
  <c r="BI120" i="17"/>
  <c r="I110" i="19" s="1"/>
  <c r="BG120" i="17"/>
  <c r="G110" i="19" s="1"/>
  <c r="BE120" i="17"/>
  <c r="E110" i="19" s="1"/>
  <c r="BH119" i="17"/>
  <c r="H109" i="19" s="1"/>
  <c r="BE119" i="17"/>
  <c r="E109" i="19" s="1"/>
  <c r="BD119" i="17"/>
  <c r="BJ119" i="17"/>
  <c r="J109" i="19" s="1"/>
  <c r="BG119" i="17"/>
  <c r="G109" i="19" s="1"/>
  <c r="P109" i="19" s="1"/>
  <c r="BK119" i="17"/>
  <c r="K109" i="19" s="1"/>
  <c r="AQ106" i="17"/>
  <c r="AP107" i="17"/>
  <c r="B166" i="8" s="1"/>
  <c r="AF107" i="17"/>
  <c r="BY110" i="17"/>
  <c r="BV110" i="17"/>
  <c r="BY112" i="11"/>
  <c r="BL42" i="6" s="1"/>
  <c r="BV112" i="11"/>
  <c r="AF107" i="16"/>
  <c r="BV107" i="16"/>
  <c r="K165" i="16"/>
  <c r="M165" i="16" s="1"/>
  <c r="Y165" i="16"/>
  <c r="I166" i="16"/>
  <c r="BX126" i="16"/>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BK106" i="17"/>
  <c r="K96" i="19" s="1"/>
  <c r="BG106" i="17"/>
  <c r="BI106" i="17"/>
  <c r="I96" i="19" s="1"/>
  <c r="BF106" i="17"/>
  <c r="BD106" i="17"/>
  <c r="BH106" i="17"/>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E166" i="8"/>
  <c r="I166" i="8"/>
  <c r="AG166" i="8" s="1"/>
  <c r="F166" i="8"/>
  <c r="C166" i="8"/>
  <c r="S166" i="8" s="1"/>
  <c r="G166" i="8"/>
  <c r="D166" i="8"/>
  <c r="H166" i="8"/>
  <c r="X166" i="8" s="1"/>
  <c r="F100" i="8"/>
  <c r="D165" i="8"/>
  <c r="H165" i="8"/>
  <c r="E165" i="8"/>
  <c r="I165" i="8"/>
  <c r="F165" i="8"/>
  <c r="N165" i="8" s="1"/>
  <c r="C165" i="8"/>
  <c r="G165" i="8"/>
  <c r="J164" i="8"/>
  <c r="O203" i="6"/>
  <c r="S203" i="6" s="1"/>
  <c r="BD32" i="6" s="1"/>
  <c r="AK204" i="17"/>
  <c r="AJ188" i="17"/>
  <c r="V125" i="11"/>
  <c r="AN161" i="17"/>
  <c r="AO161" i="17" s="1"/>
  <c r="L206" i="17"/>
  <c r="AB206" i="17"/>
  <c r="AK203" i="11"/>
  <c r="BA122" i="16"/>
  <c r="AY122" i="16"/>
  <c r="AR122" i="16"/>
  <c r="AN161" i="16"/>
  <c r="AO161" i="16" s="1"/>
  <c r="AK164" i="17"/>
  <c r="CE108" i="17"/>
  <c r="CM38" i="6" s="1"/>
  <c r="CC108" i="17"/>
  <c r="AJ189" i="17"/>
  <c r="AB166" i="17"/>
  <c r="BA123" i="16"/>
  <c r="AX123" i="16"/>
  <c r="AU123" i="16"/>
  <c r="AZ123" i="16"/>
  <c r="AW123" i="16"/>
  <c r="CC109" i="17"/>
  <c r="CE109" i="17"/>
  <c r="CM39" i="6" s="1"/>
  <c r="BC121" i="17"/>
  <c r="BG121" i="17" s="1"/>
  <c r="G111" i="19" s="1"/>
  <c r="L166" i="16"/>
  <c r="AB166" i="16"/>
  <c r="H166" i="16"/>
  <c r="AB206" i="16"/>
  <c r="CD108" i="11"/>
  <c r="CD38" i="6" s="1"/>
  <c r="CB108" i="11"/>
  <c r="CB38" i="6" s="1"/>
  <c r="CL124" i="16"/>
  <c r="CD111" i="11"/>
  <c r="CD41" i="6" s="1"/>
  <c r="CB111" i="11"/>
  <c r="CB41" i="6" s="1"/>
  <c r="CD107" i="17"/>
  <c r="CL37" i="6" s="1"/>
  <c r="CB107" i="17"/>
  <c r="CJ37"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BH108" i="16"/>
  <c r="BI108" i="16"/>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BQ56" i="6"/>
  <c r="U126" i="16"/>
  <c r="Q126" i="16"/>
  <c r="T126" i="16"/>
  <c r="S126" i="16"/>
  <c r="R126" i="16"/>
  <c r="X99" i="19"/>
  <c r="BZ108" i="11"/>
  <c r="BM38" i="6" s="1"/>
  <c r="CM111" i="17"/>
  <c r="AK111" i="17"/>
  <c r="AH112" i="17"/>
  <c r="CM111" i="16"/>
  <c r="AH112" i="16"/>
  <c r="AK111" i="16"/>
  <c r="K177" i="9"/>
  <c r="Y124" i="17"/>
  <c r="K101" i="8"/>
  <c r="AC101" i="8"/>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BK120" i="17"/>
  <c r="K110" i="19" s="1"/>
  <c r="BD120" i="17"/>
  <c r="C102" i="3"/>
  <c r="AE112" i="11"/>
  <c r="AO112" i="11"/>
  <c r="AM112" i="11"/>
  <c r="BW112" i="11" s="1"/>
  <c r="BJ120" i="17"/>
  <c r="J110" i="19" s="1"/>
  <c r="BD108" i="17"/>
  <c r="BK108" i="17"/>
  <c r="L101" i="8"/>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BF121" i="17"/>
  <c r="F111" i="19" s="1"/>
  <c r="AH199" i="11"/>
  <c r="AI199" i="11"/>
  <c r="AG199" i="11"/>
  <c r="AF199" i="11"/>
  <c r="BK108" i="16"/>
  <c r="BD108" i="16"/>
  <c r="AH114" i="11"/>
  <c r="AK113" i="11"/>
  <c r="C98" i="19"/>
  <c r="AE108" i="17"/>
  <c r="AO108" i="17"/>
  <c r="AM108" i="17"/>
  <c r="BZ108" i="17" s="1"/>
  <c r="AN108" i="17"/>
  <c r="AQ111" i="11"/>
  <c r="D101" i="3"/>
  <c r="N101" i="3" s="1"/>
  <c r="BJ108" i="17"/>
  <c r="CB107" i="16"/>
  <c r="CF37" i="6" s="1"/>
  <c r="CD107" i="16"/>
  <c r="CH37" i="6" s="1"/>
  <c r="AI122" i="11"/>
  <c r="B105" i="9"/>
  <c r="B139" i="9"/>
  <c r="AF101" i="8"/>
  <c r="BJ108" i="16"/>
  <c r="AL123" i="16"/>
  <c r="AJ123" i="16"/>
  <c r="BH120" i="17"/>
  <c r="H110" i="19" s="1"/>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BH121" i="17"/>
  <c r="H111" i="19" s="1"/>
  <c r="AN160" i="11"/>
  <c r="AO160" i="11" s="1"/>
  <c r="C100" i="19"/>
  <c r="BX40" i="6"/>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BF108" i="16"/>
  <c r="AP108" i="17"/>
  <c r="B167" i="8" s="1"/>
  <c r="BG108" i="16"/>
  <c r="BF120" i="17"/>
  <c r="F110" i="19" s="1"/>
  <c r="AL122" i="16"/>
  <c r="BH108" i="17"/>
  <c r="P164" i="11"/>
  <c r="Q164" i="11" s="1"/>
  <c r="W101" i="8"/>
  <c r="CL124" i="11"/>
  <c r="AE198" i="11"/>
  <c r="BI108" i="17"/>
  <c r="J274" i="9"/>
  <c r="G274" i="9"/>
  <c r="H274" i="9"/>
  <c r="H165" i="17"/>
  <c r="M165" i="11"/>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N96" i="1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A166"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BY36" i="6"/>
  <c r="H96" i="19"/>
  <c r="J96" i="19"/>
  <c r="G96" i="19"/>
  <c r="AV115" i="19"/>
  <c r="K102" i="18"/>
  <c r="G126" i="17"/>
  <c r="AR116" i="19" s="1"/>
  <c r="AU116" i="19" s="1"/>
  <c r="AW116" i="19" s="1"/>
  <c r="AK107" i="18"/>
  <c r="AL107" i="18" s="1"/>
  <c r="F102" i="18"/>
  <c r="J102" i="18"/>
  <c r="F96" i="18"/>
  <c r="F96" i="19"/>
  <c r="AD44" i="3"/>
  <c r="AE44" i="3"/>
  <c r="AF44" i="3" s="1"/>
  <c r="BC44" i="3" s="1"/>
  <c r="BE44" i="3" s="1"/>
  <c r="BG44" i="3" s="1"/>
  <c r="AC98" i="3"/>
  <c r="R36" i="6"/>
  <c r="Y35" i="6" s="1"/>
  <c r="AA45" i="3"/>
  <c r="AT220" i="7"/>
  <c r="O19" i="23"/>
  <c r="AH23" i="23"/>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BB93" i="18"/>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AA101" i="8" l="1"/>
  <c r="BZ107" i="17"/>
  <c r="BY37" i="6" s="1"/>
  <c r="AS122" i="16"/>
  <c r="AT122" i="16"/>
  <c r="BC122" i="16" s="1"/>
  <c r="BE122" i="16" s="1"/>
  <c r="AZ122" i="16"/>
  <c r="D97" i="18"/>
  <c r="AJ122" i="16"/>
  <c r="CE118" i="11"/>
  <c r="AR123" i="16"/>
  <c r="BC123" i="16" s="1"/>
  <c r="AS123" i="16"/>
  <c r="AY123" i="16"/>
  <c r="AT123" i="16"/>
  <c r="AV122" i="16"/>
  <c r="AW122" i="16"/>
  <c r="BB122" i="16"/>
  <c r="D97" i="19"/>
  <c r="N97" i="19" s="1"/>
  <c r="AQ107" i="16"/>
  <c r="BB123" i="16"/>
  <c r="AX122" i="16"/>
  <c r="X101" i="8"/>
  <c r="I100" i="8"/>
  <c r="L109" i="19"/>
  <c r="BW107" i="17"/>
  <c r="F103" i="8"/>
  <c r="BL119" i="17"/>
  <c r="BE121" i="17"/>
  <c r="BW109" i="11"/>
  <c r="K166" i="16"/>
  <c r="M166" i="16" s="1"/>
  <c r="Y166" i="16"/>
  <c r="I167" i="16"/>
  <c r="BX127" i="16"/>
  <c r="AF113" i="11"/>
  <c r="BY113" i="11"/>
  <c r="BV113" i="11"/>
  <c r="AF111" i="16"/>
  <c r="BY111" i="16"/>
  <c r="BR41" i="6" s="1"/>
  <c r="BV111" i="16"/>
  <c r="BY111" i="17"/>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BG107" i="16"/>
  <c r="G97" i="18" s="1"/>
  <c r="BD107" i="16"/>
  <c r="BJ107" i="16"/>
  <c r="J97" i="18" s="1"/>
  <c r="BK107" i="16"/>
  <c r="BI107" i="16"/>
  <c r="I97" i="18" s="1"/>
  <c r="BE107" i="16"/>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K166" i="8"/>
  <c r="L110" i="19"/>
  <c r="O101" i="8"/>
  <c r="AB101" i="8"/>
  <c r="AH101" i="8" s="1"/>
  <c r="U101" i="8"/>
  <c r="Q101" i="8"/>
  <c r="Y101" i="8"/>
  <c r="C100" i="8"/>
  <c r="H103" i="8"/>
  <c r="D103" i="8"/>
  <c r="I103" i="8"/>
  <c r="G103" i="8"/>
  <c r="E103" i="8"/>
  <c r="D98" i="19"/>
  <c r="N98" i="19" s="1"/>
  <c r="J166" i="8"/>
  <c r="AD165" i="8"/>
  <c r="Y125" i="11"/>
  <c r="Z125" i="11" s="1"/>
  <c r="AF166" i="8"/>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P165" i="11"/>
  <c r="Q165" i="11" s="1"/>
  <c r="BL108" i="17"/>
  <c r="CL125" i="11"/>
  <c r="P110" i="19"/>
  <c r="CD108" i="17"/>
  <c r="CL38" i="6" s="1"/>
  <c r="CB108" i="17"/>
  <c r="CJ38" i="6" s="1"/>
  <c r="AB167" i="17"/>
  <c r="CD110" i="17"/>
  <c r="CL40" i="6" s="1"/>
  <c r="CB110" i="17"/>
  <c r="CJ40" i="6" s="1"/>
  <c r="CD109" i="11"/>
  <c r="CD39" i="6" s="1"/>
  <c r="CB109" i="11"/>
  <c r="CB39" i="6" s="1"/>
  <c r="CD112" i="11"/>
  <c r="CD42" i="6" s="1"/>
  <c r="CB112" i="11"/>
  <c r="CB42" i="6" s="1"/>
  <c r="H167" i="16"/>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BL108" i="16"/>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E111" i="1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T169" i="8"/>
  <c r="AB102" i="8"/>
  <c r="T102" i="8"/>
  <c r="L102" i="8"/>
  <c r="Y125" i="16"/>
  <c r="CL125" i="16"/>
  <c r="H275" i="9"/>
  <c r="J275" i="9"/>
  <c r="G275" i="9"/>
  <c r="AK112" i="16"/>
  <c r="AH113" i="16"/>
  <c r="CM112" i="16"/>
  <c r="C101" i="19"/>
  <c r="BX41" i="6"/>
  <c r="AE111" i="17"/>
  <c r="AM111" i="17"/>
  <c r="BW111" i="17" s="1"/>
  <c r="AP111" i="17"/>
  <c r="B170" i="8" s="1"/>
  <c r="AO111" i="17"/>
  <c r="BI121" i="17"/>
  <c r="I111" i="19" s="1"/>
  <c r="BL120"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BQ57" i="6"/>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AG169" i="8"/>
  <c r="Y169" i="8"/>
  <c r="Q102" i="8"/>
  <c r="AG102" i="8"/>
  <c r="Y102" i="8"/>
  <c r="V102" i="8"/>
  <c r="AD102" i="8"/>
  <c r="N102" i="8"/>
  <c r="BJ121" i="17"/>
  <c r="J111" i="19" s="1"/>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BK121" i="17"/>
  <c r="K111" i="19" s="1"/>
  <c r="BD121" i="17"/>
  <c r="CB108" i="16"/>
  <c r="CF38" i="6" s="1"/>
  <c r="CD108" i="16"/>
  <c r="CH38" i="6" s="1"/>
  <c r="AO109" i="16"/>
  <c r="AM109" i="16"/>
  <c r="D99" i="18" s="1"/>
  <c r="AN109" i="16"/>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P16" i="23" s="1"/>
  <c r="G171" i="6"/>
  <c r="O171" i="6" s="1"/>
  <c r="S171" i="6" s="1"/>
  <c r="AX34" i="6" s="1"/>
  <c r="N97" i="18"/>
  <c r="I137" i="6"/>
  <c r="I205" i="6"/>
  <c r="G137" i="6"/>
  <c r="P133" i="9"/>
  <c r="T133" i="9" s="1"/>
  <c r="P96" i="18"/>
  <c r="Q96" i="18" s="1"/>
  <c r="R96" i="18" s="1"/>
  <c r="P166" i="8"/>
  <c r="H71" i="6"/>
  <c r="O71" i="6" s="1"/>
  <c r="S71" i="6" s="1"/>
  <c r="AF36" i="6" s="1"/>
  <c r="Y166" i="8"/>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Q166" i="8"/>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B166" i="8"/>
  <c r="T166" i="8"/>
  <c r="L166" i="8"/>
  <c r="AE165" i="8"/>
  <c r="W165" i="8"/>
  <c r="O165" i="8"/>
  <c r="U166" i="8"/>
  <c r="M166" i="8"/>
  <c r="AC166" i="8"/>
  <c r="AA165" i="8"/>
  <c r="S165" i="8"/>
  <c r="K165" i="8"/>
  <c r="AD166" i="8"/>
  <c r="N166" i="8"/>
  <c r="V166" i="8"/>
  <c r="AC165" i="8"/>
  <c r="U165" i="8"/>
  <c r="M165" i="8"/>
  <c r="T165" i="8"/>
  <c r="AB165" i="8"/>
  <c r="L165" i="8"/>
  <c r="AE166" i="8"/>
  <c r="W166" i="8"/>
  <c r="O166"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F97" i="18"/>
  <c r="BY38" i="6"/>
  <c r="K103" i="18"/>
  <c r="G127" i="17"/>
  <c r="AR117" i="19" s="1"/>
  <c r="AU117" i="19" s="1"/>
  <c r="AW117" i="19" s="1"/>
  <c r="AV116" i="19"/>
  <c r="H103" i="18"/>
  <c r="G98" i="19"/>
  <c r="G103" i="18"/>
  <c r="F103" i="18"/>
  <c r="H102" i="18"/>
  <c r="E98" i="19"/>
  <c r="E97" i="18"/>
  <c r="AB45" i="3"/>
  <c r="AD45" i="3" s="1"/>
  <c r="AC45" i="3"/>
  <c r="AE45" i="3" s="1"/>
  <c r="AF45" i="3" s="1"/>
  <c r="BC45" i="3" s="1"/>
  <c r="BE45" i="3" s="1"/>
  <c r="BG45" i="3" s="1"/>
  <c r="AA46" i="3"/>
  <c r="AK109" i="18"/>
  <c r="P22" i="23"/>
  <c r="AT221" i="7"/>
  <c r="Q18" i="23"/>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K97" i="18"/>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BE123" i="16" l="1"/>
  <c r="BF123" i="16"/>
  <c r="BJ123" i="16"/>
  <c r="BH123" i="16"/>
  <c r="BI123" i="16"/>
  <c r="BD123" i="16"/>
  <c r="BK123" i="16"/>
  <c r="BG123" i="16"/>
  <c r="BL123" i="16" s="1"/>
  <c r="V169" i="8"/>
  <c r="AE109" i="16"/>
  <c r="AK166" i="16"/>
  <c r="AP109" i="16"/>
  <c r="B134" i="8" s="1"/>
  <c r="F134" i="8" s="1"/>
  <c r="O205" i="6"/>
  <c r="S205" i="6" s="1"/>
  <c r="BD34" i="6" s="1"/>
  <c r="AE109" i="17"/>
  <c r="CD109" i="17" s="1"/>
  <c r="CL39" i="6" s="1"/>
  <c r="AN109" i="17"/>
  <c r="C99" i="19"/>
  <c r="O169" i="8"/>
  <c r="AO109" i="17"/>
  <c r="AF109" i="17"/>
  <c r="I168" i="16"/>
  <c r="H168" i="16" s="1"/>
  <c r="BX128" i="16"/>
  <c r="AF112" i="16"/>
  <c r="BV112" i="16"/>
  <c r="BY112" i="16"/>
  <c r="BR42" i="6" s="1"/>
  <c r="BV112" i="17"/>
  <c r="BY112" i="17"/>
  <c r="BX42" i="6" s="1"/>
  <c r="AF114" i="11"/>
  <c r="BY114" i="11"/>
  <c r="BL44" i="6" s="1"/>
  <c r="BV114" i="11"/>
  <c r="AF109" i="16"/>
  <c r="BV109" i="16"/>
  <c r="BY109" i="16"/>
  <c r="BW109" i="16"/>
  <c r="BY109" i="17"/>
  <c r="BX39" i="6" s="1"/>
  <c r="BV109" i="17"/>
  <c r="BW109" i="17"/>
  <c r="K167" i="16"/>
  <c r="M167" i="16" s="1"/>
  <c r="Y167" i="16"/>
  <c r="AE202" i="17"/>
  <c r="AE200" i="16"/>
  <c r="V200" i="11"/>
  <c r="W200" i="11" s="1"/>
  <c r="CC120" i="11" s="1"/>
  <c r="BL107" i="16"/>
  <c r="BG52" i="6"/>
  <c r="BA52" i="6"/>
  <c r="AP109" i="17"/>
  <c r="B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F168" i="8"/>
  <c r="AD168" i="8" s="1"/>
  <c r="P169" i="8"/>
  <c r="W169" i="8"/>
  <c r="AF169" i="8"/>
  <c r="AC118" i="11"/>
  <c r="AC48" i="6" s="1"/>
  <c r="AD118" i="11"/>
  <c r="BB118" i="11" s="1"/>
  <c r="N169" i="8"/>
  <c r="L169" i="8"/>
  <c r="J167" i="8"/>
  <c r="J135" i="8"/>
  <c r="BH122" i="16"/>
  <c r="BJ122" i="16"/>
  <c r="M167" i="8"/>
  <c r="G104" i="6"/>
  <c r="O104" i="6" s="1"/>
  <c r="S104" i="6" s="1"/>
  <c r="AL35" i="6" s="1"/>
  <c r="AC132" i="8"/>
  <c r="AC167" i="8"/>
  <c r="BI122" i="16"/>
  <c r="I136" i="8"/>
  <c r="U132" i="8"/>
  <c r="J169" i="8"/>
  <c r="BG122" i="16"/>
  <c r="BF122" i="16"/>
  <c r="AF136" i="8"/>
  <c r="X136" i="8"/>
  <c r="P136" i="8"/>
  <c r="S169" i="8"/>
  <c r="M135" i="8"/>
  <c r="AC135" i="8"/>
  <c r="U135" i="8"/>
  <c r="AG135" i="8"/>
  <c r="Y135" i="8"/>
  <c r="Q135" i="8"/>
  <c r="V135" i="8"/>
  <c r="N135" i="8"/>
  <c r="D134" i="8"/>
  <c r="T134" i="8" s="1"/>
  <c r="F136" i="8"/>
  <c r="D136" i="8"/>
  <c r="E170" i="8"/>
  <c r="I170" i="8"/>
  <c r="F170" i="8"/>
  <c r="C170" i="8"/>
  <c r="G170" i="8"/>
  <c r="D170" i="8"/>
  <c r="H170" i="8"/>
  <c r="M169" i="8"/>
  <c r="U169" i="8"/>
  <c r="AC169" i="8"/>
  <c r="AF135" i="8"/>
  <c r="X135" i="8"/>
  <c r="P135" i="8"/>
  <c r="K169" i="8"/>
  <c r="M166" i="17"/>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AB168" i="17"/>
  <c r="AL124" i="16"/>
  <c r="AV124" i="16"/>
  <c r="AX124" i="16"/>
  <c r="P111" i="19"/>
  <c r="CD111" i="17"/>
  <c r="CB111" i="17"/>
  <c r="CJ41" i="6" s="1"/>
  <c r="K281" i="9"/>
  <c r="L168" i="16"/>
  <c r="AB168" i="16"/>
  <c r="AK166" i="11"/>
  <c r="AY118" i="11"/>
  <c r="BA118" i="11"/>
  <c r="AV118" i="11"/>
  <c r="AS118" i="11"/>
  <c r="AR118" i="11"/>
  <c r="AB208" i="16"/>
  <c r="AH102" i="8"/>
  <c r="AN201" i="16"/>
  <c r="AO201" i="16" s="1"/>
  <c r="H207" i="16"/>
  <c r="CE120" i="11"/>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L111" i="19"/>
  <c r="AC162" i="17"/>
  <c r="AD162" i="17"/>
  <c r="P166" i="17"/>
  <c r="Q166" i="17" s="1"/>
  <c r="R166" i="17" s="1"/>
  <c r="S166" i="17" s="1"/>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I75" i="6"/>
  <c r="I41" i="6"/>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CD109" i="16"/>
  <c r="CH39" i="6" s="1"/>
  <c r="CB109" i="16"/>
  <c r="CF39" i="6" s="1"/>
  <c r="X103" i="8"/>
  <c r="P103" i="8"/>
  <c r="AF103" i="8"/>
  <c r="Z102" i="8"/>
  <c r="X113" i="18"/>
  <c r="G242" i="9"/>
  <c r="H242" i="9"/>
  <c r="J242" i="9"/>
  <c r="BZ113" i="11"/>
  <c r="BM43" i="6" s="1"/>
  <c r="K206" i="11"/>
  <c r="M206" i="11" s="1"/>
  <c r="K111" i="9"/>
  <c r="V127" i="16"/>
  <c r="CL128" i="17"/>
  <c r="CL41" i="6"/>
  <c r="AK113" i="16"/>
  <c r="AH114" i="16"/>
  <c r="CM113" i="16"/>
  <c r="Z125" i="16"/>
  <c r="AA125" i="16" s="1"/>
  <c r="AB125" i="16" s="1"/>
  <c r="Y126" i="11"/>
  <c r="Z126" i="11" s="1"/>
  <c r="AJ118" i="1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BD122" i="16"/>
  <c r="BK122" i="16"/>
  <c r="D99" i="19"/>
  <c r="X112" i="19"/>
  <c r="K167" i="11"/>
  <c r="M167" i="11" s="1"/>
  <c r="V127" i="17"/>
  <c r="BQ58" i="6"/>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AK167" i="16"/>
  <c r="H41" i="6"/>
  <c r="V19" i="23" s="1"/>
  <c r="K212" i="9"/>
  <c r="K246" i="9"/>
  <c r="K206" i="16"/>
  <c r="AK206" i="16" s="1"/>
  <c r="K179" i="9"/>
  <c r="BL121" i="17"/>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Q16" i="23" s="1"/>
  <c r="S96" i="18"/>
  <c r="U96" i="18" s="1"/>
  <c r="V96" i="18" s="1"/>
  <c r="H72" i="6"/>
  <c r="O72" i="6" s="1"/>
  <c r="S72" i="6" s="1"/>
  <c r="AF37" i="6" s="1"/>
  <c r="P134" i="9"/>
  <c r="T134" i="9" s="1"/>
  <c r="I206" i="6"/>
  <c r="I139" i="6"/>
  <c r="X49" i="19"/>
  <c r="AH49" i="3"/>
  <c r="AH49" i="19"/>
  <c r="AH49" i="18"/>
  <c r="X49" i="3"/>
  <c r="X49" i="18"/>
  <c r="Z166" i="8"/>
  <c r="H174" i="6" s="1"/>
  <c r="AH99" i="8"/>
  <c r="I39" i="6" s="1"/>
  <c r="R99" i="8"/>
  <c r="G39" i="6" s="1"/>
  <c r="H139" i="6"/>
  <c r="AH165" i="8"/>
  <c r="I173" i="6" s="1"/>
  <c r="R165" i="8"/>
  <c r="G173" i="6" s="1"/>
  <c r="R166" i="8"/>
  <c r="G208" i="6" s="1"/>
  <c r="Z99" i="8"/>
  <c r="H39" i="6" s="1"/>
  <c r="J100" i="8"/>
  <c r="N99" i="18"/>
  <c r="N98" i="18"/>
  <c r="S134" i="9"/>
  <c r="W134" i="9" s="1"/>
  <c r="H167" i="9"/>
  <c r="G167" i="9"/>
  <c r="G201" i="9"/>
  <c r="H201" i="9"/>
  <c r="U134" i="9"/>
  <c r="AV36" i="10"/>
  <c r="AS36" i="10"/>
  <c r="AW36" i="10"/>
  <c r="AT36" i="10"/>
  <c r="AU36" i="10"/>
  <c r="X100" i="8"/>
  <c r="AF100" i="8"/>
  <c r="P100" i="8"/>
  <c r="Z165" i="8"/>
  <c r="H207" i="6" s="1"/>
  <c r="AH166" i="8"/>
  <c r="I174"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L134"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R18" i="23"/>
  <c r="AV221" i="7"/>
  <c r="J226" i="6" s="1"/>
  <c r="P226" i="6" s="1"/>
  <c r="T226" i="6" s="1"/>
  <c r="BE55" i="6" s="1"/>
  <c r="AJ23" i="23"/>
  <c r="J225" i="6"/>
  <c r="P225" i="6" s="1"/>
  <c r="T225" i="6" s="1"/>
  <c r="BE54" i="6" s="1"/>
  <c r="Q22" i="23"/>
  <c r="AF222" i="7"/>
  <c r="Q19" i="23"/>
  <c r="R21"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L97" i="19"/>
  <c r="A189" i="8"/>
  <c r="A197" i="6"/>
  <c r="A226" i="7"/>
  <c r="A155" i="8"/>
  <c r="A121" i="8"/>
  <c r="A120" i="18"/>
  <c r="A192" i="7"/>
  <c r="A170" i="17"/>
  <c r="A130" i="17"/>
  <c r="A129" i="6"/>
  <c r="A170" i="16"/>
  <c r="A130" i="16"/>
  <c r="A130" i="11"/>
  <c r="F98" i="11" s="1"/>
  <c r="A170" i="11"/>
  <c r="A158" i="7"/>
  <c r="A61" i="6"/>
  <c r="W60" i="6" s="1"/>
  <c r="BH60" i="6" s="1"/>
  <c r="A120" i="3"/>
  <c r="AR124" i="16" l="1"/>
  <c r="AY124" i="16"/>
  <c r="AQ109" i="16"/>
  <c r="H134" i="8"/>
  <c r="AF134" i="8" s="1"/>
  <c r="G75" i="6"/>
  <c r="AJ124" i="16"/>
  <c r="AW118" i="11"/>
  <c r="AU118" i="11"/>
  <c r="AS124" i="16"/>
  <c r="BB124" i="16"/>
  <c r="AW124" i="16"/>
  <c r="AL118" i="11"/>
  <c r="C134" i="8"/>
  <c r="G134" i="8"/>
  <c r="AZ124" i="16"/>
  <c r="AT118" i="11"/>
  <c r="AZ118" i="11"/>
  <c r="AU124" i="16"/>
  <c r="BA124" i="16"/>
  <c r="E134" i="8"/>
  <c r="AC134" i="8" s="1"/>
  <c r="I134" i="8"/>
  <c r="CB109" i="17"/>
  <c r="CJ39" i="6" s="1"/>
  <c r="Y133" i="8"/>
  <c r="AB134" i="8"/>
  <c r="Q133" i="8"/>
  <c r="R135" i="8"/>
  <c r="G109" i="6" s="1"/>
  <c r="Z169" i="8"/>
  <c r="H177" i="6" s="1"/>
  <c r="H211" i="6"/>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I177" i="6"/>
  <c r="R169" i="8"/>
  <c r="G211" i="6" s="1"/>
  <c r="AC119" i="11"/>
  <c r="AC49" i="6" s="1"/>
  <c r="AD119" i="11"/>
  <c r="AW119" i="11" s="1"/>
  <c r="I109" i="6"/>
  <c r="O138" i="6"/>
  <c r="S138" i="6" s="1"/>
  <c r="AR35" i="6" s="1"/>
  <c r="BL122" i="16"/>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AU125" i="17"/>
  <c r="Z168" i="16"/>
  <c r="K180" i="9" s="1"/>
  <c r="AB209" i="16"/>
  <c r="AB169" i="16"/>
  <c r="L169" i="16"/>
  <c r="AK167" i="11"/>
  <c r="I42" i="6"/>
  <c r="I76" i="6"/>
  <c r="L209" i="17"/>
  <c r="AB209" i="17"/>
  <c r="CD114" i="11"/>
  <c r="CD44" i="6" s="1"/>
  <c r="CB114" i="11"/>
  <c r="CB44" i="6" s="1"/>
  <c r="AL125" i="16"/>
  <c r="AV125" i="16"/>
  <c r="AU125" i="16"/>
  <c r="AB169" i="17"/>
  <c r="AV119" i="11"/>
  <c r="AU119" i="11"/>
  <c r="AS119" i="11"/>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BC124" i="16"/>
  <c r="BE124" i="16" s="1"/>
  <c r="K168" i="17"/>
  <c r="AK168" i="17" s="1"/>
  <c r="J104" i="8"/>
  <c r="K104" i="8"/>
  <c r="AA104" i="8"/>
  <c r="S104" i="8"/>
  <c r="H76" i="6"/>
  <c r="H42" i="6"/>
  <c r="K248" i="9"/>
  <c r="K214" i="9"/>
  <c r="K112" i="9"/>
  <c r="Z126" i="17"/>
  <c r="AA126" i="17" s="1"/>
  <c r="AB126" i="17" s="1"/>
  <c r="AI125" i="11"/>
  <c r="B142" i="9"/>
  <c r="B108" i="9"/>
  <c r="O41" i="6"/>
  <c r="S41" i="6" s="1"/>
  <c r="Z40" i="6" s="1"/>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M168" i="17"/>
  <c r="V128" i="11"/>
  <c r="Z103" i="8"/>
  <c r="AN113" i="17"/>
  <c r="V128" i="16"/>
  <c r="CA128" i="16"/>
  <c r="BT58" i="6" s="1"/>
  <c r="CI130" i="17"/>
  <c r="CH130" i="17"/>
  <c r="CK130" i="17"/>
  <c r="CG130" i="17"/>
  <c r="CJ130" i="17"/>
  <c r="S130" i="17"/>
  <c r="K130" i="17"/>
  <c r="Z209" i="16"/>
  <c r="L209" i="16"/>
  <c r="BQ59" i="6"/>
  <c r="CK128" i="16"/>
  <c r="CG128" i="16"/>
  <c r="CJ128" i="16"/>
  <c r="CI128" i="16"/>
  <c r="CH128" i="16"/>
  <c r="K128" i="16"/>
  <c r="Z126" i="16"/>
  <c r="AA126" i="16" s="1"/>
  <c r="AB126" i="16" s="1"/>
  <c r="AK168" i="16"/>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AJ119" i="11"/>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O75" i="6"/>
  <c r="S75" i="6" s="1"/>
  <c r="AF40" i="6" s="1"/>
  <c r="BZ112" i="17"/>
  <c r="BY42" i="6" s="1"/>
  <c r="AN113" i="16"/>
  <c r="W104" i="8"/>
  <c r="O104" i="8"/>
  <c r="AE104" i="8"/>
  <c r="M104" i="8"/>
  <c r="U104" i="8"/>
  <c r="AC104" i="8"/>
  <c r="AH117" i="11"/>
  <c r="AK116" i="11"/>
  <c r="AH103" i="8"/>
  <c r="K207" i="16"/>
  <c r="AK207" i="16" s="1"/>
  <c r="CL127" i="11"/>
  <c r="BB95" i="18"/>
  <c r="AH112" i="19"/>
  <c r="AH112" i="18"/>
  <c r="CE48" i="6"/>
  <c r="G174" i="6"/>
  <c r="O174" i="6" s="1"/>
  <c r="S174" i="6" s="1"/>
  <c r="AX37" i="6" s="1"/>
  <c r="H173" i="6"/>
  <c r="O173" i="6" s="1"/>
  <c r="S173" i="6" s="1"/>
  <c r="AX36" i="6" s="1"/>
  <c r="O139" i="6"/>
  <c r="S139" i="6" s="1"/>
  <c r="AR36" i="6" s="1"/>
  <c r="CM116" i="11"/>
  <c r="O38" i="6"/>
  <c r="S38" i="6" s="1"/>
  <c r="Z37" i="6" s="1"/>
  <c r="H73" i="6"/>
  <c r="I73" i="6"/>
  <c r="G73" i="6"/>
  <c r="H208" i="6"/>
  <c r="I208"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G134" i="8"/>
  <c r="Y134" i="8"/>
  <c r="Q134" i="8"/>
  <c r="AB133" i="8"/>
  <c r="T133" i="8"/>
  <c r="L133" i="8"/>
  <c r="AD133" i="8"/>
  <c r="V133" i="8"/>
  <c r="N133" i="8"/>
  <c r="W134" i="8"/>
  <c r="O134" i="8"/>
  <c r="AE134" i="8"/>
  <c r="J168" i="9"/>
  <c r="S134" i="8"/>
  <c r="AA134" i="8"/>
  <c r="K134" i="8"/>
  <c r="AC133" i="8"/>
  <c r="M133" i="8"/>
  <c r="U133" i="8"/>
  <c r="S133" i="8"/>
  <c r="K133" i="8"/>
  <c r="AA133" i="8"/>
  <c r="J202" i="9"/>
  <c r="U134" i="8"/>
  <c r="AE133" i="8"/>
  <c r="W133" i="8"/>
  <c r="O133" i="8"/>
  <c r="X134"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T16" i="23"/>
  <c r="AK111" i="18"/>
  <c r="AL111" i="18" s="1"/>
  <c r="AK111" i="19"/>
  <c r="AK23" i="23"/>
  <c r="T19" i="23"/>
  <c r="R19" i="23"/>
  <c r="T22"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M134" i="8" l="1"/>
  <c r="AT119" i="11"/>
  <c r="J134" i="8"/>
  <c r="P134" i="8"/>
  <c r="R134" i="8" s="1"/>
  <c r="G142" i="6" s="1"/>
  <c r="AZ119" i="11"/>
  <c r="AL125" i="17"/>
  <c r="AY125" i="17"/>
  <c r="AD171" i="8"/>
  <c r="G143" i="6"/>
  <c r="AJ125" i="17"/>
  <c r="BA125" i="17"/>
  <c r="AS125" i="17"/>
  <c r="AX125" i="17"/>
  <c r="AT125" i="17"/>
  <c r="AR125" i="17"/>
  <c r="AW125" i="17"/>
  <c r="BB125" i="17"/>
  <c r="AZ125" i="17"/>
  <c r="P171" i="8"/>
  <c r="X171" i="8"/>
  <c r="V171" i="8"/>
  <c r="I170" i="16"/>
  <c r="BX130" i="16"/>
  <c r="BV114" i="17"/>
  <c r="BY114" i="17"/>
  <c r="BX44" i="6" s="1"/>
  <c r="AF114" i="16"/>
  <c r="BV114" i="16"/>
  <c r="BY114" i="16"/>
  <c r="BR44" i="6" s="1"/>
  <c r="BV116" i="11"/>
  <c r="BY116" i="11"/>
  <c r="K169" i="16"/>
  <c r="M169" i="16" s="1"/>
  <c r="Y169" i="16"/>
  <c r="BW115" i="11"/>
  <c r="BW113" i="17"/>
  <c r="AE164" i="17"/>
  <c r="AE202" i="16"/>
  <c r="AR125" i="16"/>
  <c r="BA125" i="16"/>
  <c r="AX125" i="16"/>
  <c r="AR119" i="11"/>
  <c r="AY119" i="11"/>
  <c r="BA119" i="11"/>
  <c r="AS125" i="16"/>
  <c r="BB125" i="16"/>
  <c r="AY125" i="16"/>
  <c r="AL119" i="11"/>
  <c r="O211" i="6"/>
  <c r="S211" i="6" s="1"/>
  <c r="BD40" i="6" s="1"/>
  <c r="AJ125" i="16"/>
  <c r="BB119" i="11"/>
  <c r="AZ125" i="16"/>
  <c r="AW125" i="16"/>
  <c r="BA54" i="6"/>
  <c r="BG54" i="6"/>
  <c r="AO55" i="6"/>
  <c r="AA168" i="8"/>
  <c r="J168" i="8"/>
  <c r="S168" i="8"/>
  <c r="K168" i="8"/>
  <c r="BC123" i="17"/>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E123" i="17"/>
  <c r="E113" i="19" s="1"/>
  <c r="BD122" i="17"/>
  <c r="BF122" i="17"/>
  <c r="F112" i="19" s="1"/>
  <c r="BI122" i="17"/>
  <c r="I112" i="19" s="1"/>
  <c r="BG122" i="17"/>
  <c r="G112" i="19" s="1"/>
  <c r="BE122" i="17"/>
  <c r="BH122" i="17"/>
  <c r="H112" i="19" s="1"/>
  <c r="BJ122" i="17"/>
  <c r="J112" i="19" s="1"/>
  <c r="BK122" i="17"/>
  <c r="K112" i="19" s="1"/>
  <c r="BL109" i="16"/>
  <c r="E99" i="18"/>
  <c r="AD126" i="16"/>
  <c r="AX126" i="16" s="1"/>
  <c r="AC126" i="16"/>
  <c r="AD126" i="17"/>
  <c r="AC126" i="17"/>
  <c r="AN114" i="17"/>
  <c r="AF114" i="17"/>
  <c r="G177" i="6"/>
  <c r="O177" i="6" s="1"/>
  <c r="S177" i="6" s="1"/>
  <c r="AX40" i="6" s="1"/>
  <c r="AC120" i="11"/>
  <c r="AC50" i="6" s="1"/>
  <c r="AD120" i="11"/>
  <c r="AL120" i="11" s="1"/>
  <c r="BI124" i="16"/>
  <c r="BH124" i="16"/>
  <c r="AP116" i="11"/>
  <c r="B107" i="8" s="1"/>
  <c r="D107" i="8" s="1"/>
  <c r="AF116" i="11"/>
  <c r="R166" i="11"/>
  <c r="S166" i="11" s="1"/>
  <c r="T166" i="11" s="1"/>
  <c r="T171" i="8"/>
  <c r="BF124" i="16"/>
  <c r="AB171" i="8"/>
  <c r="J171" i="8"/>
  <c r="AH136" i="8"/>
  <c r="I144" i="6" s="1"/>
  <c r="O207" i="6"/>
  <c r="S207" i="6" s="1"/>
  <c r="BD36" i="6" s="1"/>
  <c r="M168" i="11"/>
  <c r="P168" i="11" s="1"/>
  <c r="Y128" i="11"/>
  <c r="Z128" i="11" s="1"/>
  <c r="AA128" i="11" s="1"/>
  <c r="BG124" i="16"/>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O143" i="6" s="1"/>
  <c r="S143" i="6" s="1"/>
  <c r="AR40" i="6" s="1"/>
  <c r="H109" i="6"/>
  <c r="O109" i="6" s="1"/>
  <c r="S109" i="6" s="1"/>
  <c r="AL40" i="6" s="1"/>
  <c r="AH170" i="8"/>
  <c r="M137" i="8"/>
  <c r="U137" i="8"/>
  <c r="AC137" i="8"/>
  <c r="AK207" i="11"/>
  <c r="H169" i="11"/>
  <c r="T205" i="11"/>
  <c r="U205" i="11"/>
  <c r="X205" i="11" s="1"/>
  <c r="AD205" i="11" s="1"/>
  <c r="T201" i="11"/>
  <c r="U201" i="11"/>
  <c r="X201" i="11" s="1"/>
  <c r="AD201" i="11" s="1"/>
  <c r="BA126" i="16"/>
  <c r="AZ126" i="16"/>
  <c r="AS126" i="16"/>
  <c r="CD113" i="17"/>
  <c r="CL43" i="6" s="1"/>
  <c r="CB113" i="17"/>
  <c r="CJ43" i="6" s="1"/>
  <c r="AB210" i="16"/>
  <c r="U204" i="11"/>
  <c r="X204" i="11" s="1"/>
  <c r="AD204" i="11" s="1"/>
  <c r="T204" i="11"/>
  <c r="L210" i="17"/>
  <c r="AB210" i="17"/>
  <c r="CD115" i="11"/>
  <c r="CD45" i="6" s="1"/>
  <c r="CB115" i="11"/>
  <c r="R206" i="11"/>
  <c r="S206" i="11" s="1"/>
  <c r="T206" i="11" s="1"/>
  <c r="K283" i="9"/>
  <c r="AB170" i="16"/>
  <c r="H170" i="16"/>
  <c r="L170" i="16"/>
  <c r="AB170" i="17"/>
  <c r="CL128" i="16"/>
  <c r="AU120" i="11"/>
  <c r="AY120" i="11"/>
  <c r="AL126" i="17"/>
  <c r="AW126" i="17"/>
  <c r="AX126" i="17"/>
  <c r="AU126" i="17"/>
  <c r="AV126" i="17"/>
  <c r="AZ126" i="17"/>
  <c r="AS126" i="17"/>
  <c r="AR126" i="17"/>
  <c r="BA126" i="17"/>
  <c r="BB126" i="17"/>
  <c r="AY126" i="17"/>
  <c r="AT126" i="17"/>
  <c r="T203" i="11"/>
  <c r="U203" i="11"/>
  <c r="X203" i="11" s="1"/>
  <c r="AD203" i="11" s="1"/>
  <c r="U202" i="11"/>
  <c r="X202" i="11" s="1"/>
  <c r="AD202" i="11" s="1"/>
  <c r="T202" i="11"/>
  <c r="O208" i="6"/>
  <c r="S208" i="6" s="1"/>
  <c r="BD37" i="6" s="1"/>
  <c r="AL126" i="16"/>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P168" i="17"/>
  <c r="Q168" i="17" s="1"/>
  <c r="R168" i="17" s="1"/>
  <c r="S168"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U166" i="11"/>
  <c r="X166" i="11" s="1"/>
  <c r="AD166" i="11" s="1"/>
  <c r="R102" i="18"/>
  <c r="S102" i="18"/>
  <c r="R102" i="19"/>
  <c r="S102" i="19"/>
  <c r="K181" i="9"/>
  <c r="H203" i="11"/>
  <c r="H201" i="11"/>
  <c r="H206" i="11"/>
  <c r="I209" i="11"/>
  <c r="Y209" i="11" s="1"/>
  <c r="CA129" i="11"/>
  <c r="BN59" i="6" s="1"/>
  <c r="I170" i="11"/>
  <c r="Y170" i="11" s="1"/>
  <c r="BK60" i="6"/>
  <c r="BW60" i="6"/>
  <c r="I170" i="17"/>
  <c r="L210" i="11"/>
  <c r="AB210" i="11"/>
  <c r="Z210" i="11"/>
  <c r="C106" i="3"/>
  <c r="BL46" i="6"/>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W19" i="23"/>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CB45" i="6"/>
  <c r="AQ113" i="16"/>
  <c r="D103" i="18"/>
  <c r="N103" i="18" s="1"/>
  <c r="Q103" i="18" s="1"/>
  <c r="AN114" i="16"/>
  <c r="G244" i="9"/>
  <c r="H244" i="9"/>
  <c r="J244" i="9"/>
  <c r="R162" i="11"/>
  <c r="S162" i="11" s="1"/>
  <c r="T162" i="11" s="1"/>
  <c r="AI126" i="11"/>
  <c r="B109" i="9"/>
  <c r="B143" i="9"/>
  <c r="H207" i="11"/>
  <c r="CA129" i="17"/>
  <c r="BZ59" i="6" s="1"/>
  <c r="R130" i="17"/>
  <c r="T130" i="17"/>
  <c r="Q130" i="17"/>
  <c r="U130" i="17"/>
  <c r="BQ60" i="6"/>
  <c r="CH129" i="16"/>
  <c r="CK129" i="16"/>
  <c r="CG129" i="16"/>
  <c r="CJ129" i="16"/>
  <c r="CI129" i="16"/>
  <c r="K129" i="16"/>
  <c r="Z210" i="17"/>
  <c r="W105" i="8"/>
  <c r="O105" i="8"/>
  <c r="AE105" i="8"/>
  <c r="H77" i="6"/>
  <c r="H43" i="6"/>
  <c r="X19" i="23" s="1"/>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AK169" i="16"/>
  <c r="B245" i="9"/>
  <c r="G245" i="9" s="1"/>
  <c r="B279" i="9"/>
  <c r="H279" i="9" s="1"/>
  <c r="AI126" i="17"/>
  <c r="V129" i="11"/>
  <c r="Z169" i="11"/>
  <c r="AI59" i="6" s="1"/>
  <c r="R161" i="11"/>
  <c r="S161" i="11" s="1"/>
  <c r="T161" i="11" s="1"/>
  <c r="Z127" i="11"/>
  <c r="AA127" i="11" s="1"/>
  <c r="AB127" i="11" s="1"/>
  <c r="AJ126" i="17"/>
  <c r="X115" i="19"/>
  <c r="AH104" i="8"/>
  <c r="BJ124" i="16"/>
  <c r="BK124" i="16"/>
  <c r="BD124" i="16"/>
  <c r="K169" i="11"/>
  <c r="M169" i="11" s="1"/>
  <c r="K208" i="11"/>
  <c r="M208" i="11" s="1"/>
  <c r="H208" i="11"/>
  <c r="I209" i="6"/>
  <c r="AH113" i="19"/>
  <c r="AH113" i="18"/>
  <c r="CE49" i="6"/>
  <c r="H140" i="6"/>
  <c r="O140" i="6" s="1"/>
  <c r="S140" i="6" s="1"/>
  <c r="AR37" i="6" s="1"/>
  <c r="I106" i="6"/>
  <c r="O73" i="6"/>
  <c r="S73" i="6" s="1"/>
  <c r="AF38" i="6" s="1"/>
  <c r="G40" i="6"/>
  <c r="O40" i="6" s="1"/>
  <c r="S40" i="6" s="1"/>
  <c r="Z39" i="6" s="1"/>
  <c r="H74" i="6"/>
  <c r="J227" i="6"/>
  <c r="P227" i="6" s="1"/>
  <c r="T227" i="6" s="1"/>
  <c r="BE56" i="6" s="1"/>
  <c r="H175" i="6"/>
  <c r="O175" i="6" s="1"/>
  <c r="S175" i="6" s="1"/>
  <c r="AX38" i="6" s="1"/>
  <c r="G106" i="6"/>
  <c r="P137" i="9"/>
  <c r="I74" i="6"/>
  <c r="P136" i="9"/>
  <c r="X51" i="3"/>
  <c r="X51" i="19"/>
  <c r="AH51" i="18"/>
  <c r="AH51" i="19"/>
  <c r="AH51" i="3"/>
  <c r="X51" i="18"/>
  <c r="AV119" i="19"/>
  <c r="L104" i="18"/>
  <c r="S136" i="9"/>
  <c r="R133" i="8"/>
  <c r="G141" i="6" s="1"/>
  <c r="Z134" i="8"/>
  <c r="H142" i="6" s="1"/>
  <c r="G209" i="6"/>
  <c r="G102" i="9"/>
  <c r="H102" i="9"/>
  <c r="H136" i="9"/>
  <c r="U136" i="9" s="1"/>
  <c r="G136" i="9"/>
  <c r="AH133" i="8"/>
  <c r="I107" i="6" s="1"/>
  <c r="Z133" i="8"/>
  <c r="H141" i="6" s="1"/>
  <c r="AH134" i="8"/>
  <c r="I108"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S16" i="23"/>
  <c r="U16" i="23"/>
  <c r="AM111" i="18"/>
  <c r="U19" i="23"/>
  <c r="S19" i="23"/>
  <c r="U22" i="23"/>
  <c r="S22"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O23" i="23" s="1"/>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G107" i="6"/>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W120" i="11" l="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BG124" i="17"/>
  <c r="G114" i="19" s="1"/>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H108"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O110" i="6" s="1"/>
  <c r="S110" i="6" s="1"/>
  <c r="AL41" i="6" s="1"/>
  <c r="H144" i="6"/>
  <c r="Z137" i="8"/>
  <c r="W138" i="8"/>
  <c r="AE138" i="8"/>
  <c r="O138" i="8"/>
  <c r="AD172" i="8"/>
  <c r="V172" i="8"/>
  <c r="N172" i="8"/>
  <c r="AB172" i="8"/>
  <c r="T172" i="8"/>
  <c r="L172" i="8"/>
  <c r="I139" i="8"/>
  <c r="O209" i="6"/>
  <c r="S209" i="6" s="1"/>
  <c r="BD38" i="6" s="1"/>
  <c r="O77" i="6"/>
  <c r="S77" i="6" s="1"/>
  <c r="AF42" i="6" s="1"/>
  <c r="AN166" i="16"/>
  <c r="AO166" i="16" s="1"/>
  <c r="AN166" i="17"/>
  <c r="AO166" i="17" s="1"/>
  <c r="AV122" i="11"/>
  <c r="AY122" i="11"/>
  <c r="AT121" i="11"/>
  <c r="BB121" i="11"/>
  <c r="CD114" i="17"/>
  <c r="CL44" i="6" s="1"/>
  <c r="CB114" i="17"/>
  <c r="CJ44" i="6" s="1"/>
  <c r="AU127" i="17"/>
  <c r="AR127" i="17"/>
  <c r="AT127" i="17"/>
  <c r="CD116" i="11"/>
  <c r="CD46" i="6" s="1"/>
  <c r="CB116" i="11"/>
  <c r="CB46" i="6" s="1"/>
  <c r="AL127" i="11"/>
  <c r="AZ127" i="11"/>
  <c r="AT127" i="11"/>
  <c r="Z105" i="8"/>
  <c r="H79" i="6" s="1"/>
  <c r="AN115" i="16"/>
  <c r="Q168" i="11"/>
  <c r="R168" i="11" s="1"/>
  <c r="S168" i="11" s="1"/>
  <c r="BC126" i="17"/>
  <c r="BJ126" i="17" s="1"/>
  <c r="J116" i="19" s="1"/>
  <c r="H170" i="11"/>
  <c r="Z170" i="11"/>
  <c r="BG125" i="16"/>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BL124" i="16"/>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AC166" i="11"/>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X22" i="23"/>
  <c r="AJ122" i="11"/>
  <c r="AI127" i="11"/>
  <c r="B144" i="9"/>
  <c r="B110" i="9"/>
  <c r="Y106" i="8"/>
  <c r="Q106" i="8"/>
  <c r="AG106" i="8"/>
  <c r="O106" i="8"/>
  <c r="W106" i="8"/>
  <c r="AE106" i="8"/>
  <c r="BZ114" i="17"/>
  <c r="BY44" i="6" s="1"/>
  <c r="BH125" i="17"/>
  <c r="H115" i="19" s="1"/>
  <c r="C107" i="3"/>
  <c r="AE117" i="11"/>
  <c r="AM117" i="11"/>
  <c r="BW117" i="11" s="1"/>
  <c r="AO117" i="11"/>
  <c r="K209" i="16"/>
  <c r="AK209" i="16" s="1"/>
  <c r="Z128" i="17"/>
  <c r="AA128" i="17" s="1"/>
  <c r="AB128" i="17" s="1"/>
  <c r="K113" i="9"/>
  <c r="AL166" i="11"/>
  <c r="AM166" i="11"/>
  <c r="X116" i="3" s="1"/>
  <c r="C105" i="19"/>
  <c r="AE115" i="17"/>
  <c r="AM115" i="17"/>
  <c r="BW115" i="17" s="1"/>
  <c r="AO115" i="17"/>
  <c r="AP115" i="17"/>
  <c r="B174" i="8" s="1"/>
  <c r="R105" i="8"/>
  <c r="BE125" i="17"/>
  <c r="CL129" i="11"/>
  <c r="H78" i="6"/>
  <c r="H44" i="6"/>
  <c r="Y19" i="23" s="1"/>
  <c r="AK116" i="16"/>
  <c r="AH117" i="16"/>
  <c r="CM116" i="16"/>
  <c r="BC126" i="16"/>
  <c r="BG126" i="16" s="1"/>
  <c r="BF125" i="17"/>
  <c r="F115" i="19" s="1"/>
  <c r="V130" i="17"/>
  <c r="BD125" i="16"/>
  <c r="AC106" i="8"/>
  <c r="U106" i="8"/>
  <c r="M106" i="8"/>
  <c r="AA106" i="8"/>
  <c r="S106" i="8"/>
  <c r="J106" i="8"/>
  <c r="K106" i="8"/>
  <c r="AH119" i="11"/>
  <c r="AK118" i="11"/>
  <c r="AJ127" i="17"/>
  <c r="AQ114" i="16"/>
  <c r="D104" i="18"/>
  <c r="N104" i="18" s="1"/>
  <c r="Q104" i="18" s="1"/>
  <c r="K209" i="11"/>
  <c r="M209" i="11" s="1"/>
  <c r="H209" i="11"/>
  <c r="I210" i="11"/>
  <c r="Y210" i="11" s="1"/>
  <c r="CA130" i="11"/>
  <c r="BN60" i="6" s="1"/>
  <c r="AJ127" i="11"/>
  <c r="K249" i="9"/>
  <c r="K215" i="9"/>
  <c r="V16" i="23"/>
  <c r="O43" i="6"/>
  <c r="S43" i="6" s="1"/>
  <c r="Z42" i="6" s="1"/>
  <c r="Y129" i="17"/>
  <c r="BJ125" i="17"/>
  <c r="J115" i="19" s="1"/>
  <c r="BK125" i="17"/>
  <c r="K115" i="19" s="1"/>
  <c r="BD125" i="17"/>
  <c r="Y129" i="11"/>
  <c r="V130" i="16"/>
  <c r="C105" i="18"/>
  <c r="AE115" i="16"/>
  <c r="AM115" i="16"/>
  <c r="BZ115" i="16" s="1"/>
  <c r="BS45" i="6" s="1"/>
  <c r="AP115" i="16"/>
  <c r="B140" i="8" s="1"/>
  <c r="D140" i="8" s="1"/>
  <c r="AO115" i="16"/>
  <c r="BG125" i="17"/>
  <c r="G115" i="19" s="1"/>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G108" i="6"/>
  <c r="AH52" i="19"/>
  <c r="X52" i="3"/>
  <c r="AH52" i="3"/>
  <c r="X52" i="18"/>
  <c r="X52" i="19"/>
  <c r="AH52" i="18"/>
  <c r="I141" i="6"/>
  <c r="O141" i="6" s="1"/>
  <c r="S141" i="6" s="1"/>
  <c r="AR38" i="6" s="1"/>
  <c r="AL112" i="19"/>
  <c r="S138" i="9"/>
  <c r="H107" i="6"/>
  <c r="O107" i="6" s="1"/>
  <c r="S107" i="6" s="1"/>
  <c r="AL38" i="6" s="1"/>
  <c r="G205" i="9"/>
  <c r="H205" i="9"/>
  <c r="H204" i="9"/>
  <c r="G204" i="9"/>
  <c r="I142" i="6"/>
  <c r="O142" i="6" s="1"/>
  <c r="S142" i="6" s="1"/>
  <c r="AR39" i="6" s="1"/>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AP23" i="23" s="1"/>
  <c r="I115" i="19"/>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BF125" i="16" l="1"/>
  <c r="I213" i="6"/>
  <c r="BI125" i="16"/>
  <c r="BH125" i="16"/>
  <c r="BL125" i="16" s="1"/>
  <c r="H213" i="6"/>
  <c r="BJ125" i="16"/>
  <c r="BK125" i="16"/>
  <c r="AL122" i="11"/>
  <c r="AS122" i="11"/>
  <c r="AW122" i="11"/>
  <c r="AU122" i="11"/>
  <c r="AR122" i="11"/>
  <c r="AT122" i="11"/>
  <c r="AZ122" i="11"/>
  <c r="BA122" i="11"/>
  <c r="BB127" i="17"/>
  <c r="AX127" i="17"/>
  <c r="AL127" i="17"/>
  <c r="BA127" i="17"/>
  <c r="AS127" i="17"/>
  <c r="AW127" i="17"/>
  <c r="AY127" i="17"/>
  <c r="AZ127" i="17"/>
  <c r="BF126" i="17"/>
  <c r="F116" i="19" s="1"/>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166" i="11"/>
  <c r="AE204" i="16"/>
  <c r="I176" i="6"/>
  <c r="I210" i="6"/>
  <c r="F113" i="19"/>
  <c r="BL123" i="17"/>
  <c r="BG57" i="6"/>
  <c r="BA57" i="6"/>
  <c r="G210" i="6"/>
  <c r="G176" i="6"/>
  <c r="K114" i="9"/>
  <c r="AI60" i="6"/>
  <c r="AO57" i="6"/>
  <c r="H176" i="6"/>
  <c r="H210" i="6"/>
  <c r="S99" i="18"/>
  <c r="U99" i="18" s="1"/>
  <c r="V99" i="18" s="1"/>
  <c r="R99" i="18"/>
  <c r="T99" i="18" s="1"/>
  <c r="U100" i="18" s="1"/>
  <c r="V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O213" i="6" s="1"/>
  <c r="S213" i="6" s="1"/>
  <c r="BD42" i="6" s="1"/>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9" i="23" s="1"/>
  <c r="Z138" i="8"/>
  <c r="AB140" i="8"/>
  <c r="L140" i="8"/>
  <c r="Y139" i="8"/>
  <c r="Q139" i="8"/>
  <c r="AG139" i="8"/>
  <c r="D108" i="8"/>
  <c r="H108" i="8"/>
  <c r="E108" i="8"/>
  <c r="I108" i="8"/>
  <c r="F108" i="8"/>
  <c r="C108" i="8"/>
  <c r="G108" i="8"/>
  <c r="V173" i="8"/>
  <c r="N173" i="8"/>
  <c r="AD173" i="8"/>
  <c r="T173" i="8"/>
  <c r="L173" i="8"/>
  <c r="AB173" i="8"/>
  <c r="I140" i="8"/>
  <c r="C109"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Y173" i="8"/>
  <c r="Q173" i="8"/>
  <c r="AG173" i="8"/>
  <c r="G140" i="8"/>
  <c r="W140" i="8" s="1"/>
  <c r="E140" i="8"/>
  <c r="J139" i="8"/>
  <c r="AA139" i="8"/>
  <c r="S139" i="8"/>
  <c r="K139" i="8"/>
  <c r="O178" i="6"/>
  <c r="S178" i="6" s="1"/>
  <c r="AX41" i="6" s="1"/>
  <c r="AH138" i="8"/>
  <c r="Y130" i="11"/>
  <c r="H111" i="6"/>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V167" i="11" s="1"/>
  <c r="W167" i="11" s="1"/>
  <c r="AJ203" i="16"/>
  <c r="AN207" i="17"/>
  <c r="AO207" i="17" s="1"/>
  <c r="AN206" i="17"/>
  <c r="AO206" i="17" s="1"/>
  <c r="T168" i="11"/>
  <c r="U168" i="11"/>
  <c r="X168" i="11" s="1"/>
  <c r="CD115" i="17"/>
  <c r="CL45" i="6" s="1"/>
  <c r="CB115" i="17"/>
  <c r="CJ45" i="6" s="1"/>
  <c r="BZ117" i="11"/>
  <c r="BM47" i="6" s="1"/>
  <c r="AV124" i="11"/>
  <c r="AU124" i="11"/>
  <c r="AW124" i="11"/>
  <c r="AY124" i="11"/>
  <c r="AS124" i="11"/>
  <c r="CD117" i="11"/>
  <c r="CD47" i="6" s="1"/>
  <c r="CB117" i="11"/>
  <c r="CB47" i="6" s="1"/>
  <c r="AJ205" i="17"/>
  <c r="AN204" i="1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CE123" i="16"/>
  <c r="CI53" i="6" s="1"/>
  <c r="CC123" i="16"/>
  <c r="AK210" i="17"/>
  <c r="BF126" i="16"/>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I167" i="1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BG126" i="17"/>
  <c r="G116" i="19" s="1"/>
  <c r="K210" i="16"/>
  <c r="AK210" i="16" s="1"/>
  <c r="AO204" i="11"/>
  <c r="M170" i="11"/>
  <c r="W22" i="23"/>
  <c r="Y22" i="23"/>
  <c r="Y130" i="16"/>
  <c r="Z130" i="16" s="1"/>
  <c r="AA130" i="16" s="1"/>
  <c r="AB130" i="16" s="1"/>
  <c r="AM206" i="11"/>
  <c r="AH116" i="3" s="1"/>
  <c r="AL206" i="11"/>
  <c r="AM201" i="11"/>
  <c r="AH111" i="3" s="1"/>
  <c r="AL201" i="11"/>
  <c r="AH120" i="11"/>
  <c r="AK119" i="11"/>
  <c r="Y130" i="17"/>
  <c r="BJ126" i="16"/>
  <c r="BK126" i="16"/>
  <c r="BD126" i="16"/>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O205" i="11"/>
  <c r="AG125" i="11"/>
  <c r="K125" i="11"/>
  <c r="AA125" i="11"/>
  <c r="AB125" i="11" s="1"/>
  <c r="S104" i="19"/>
  <c r="R104" i="19"/>
  <c r="AQ115" i="16"/>
  <c r="D105" i="18"/>
  <c r="N105" i="18" s="1"/>
  <c r="Q105" i="18" s="1"/>
  <c r="AL165" i="11"/>
  <c r="AM165" i="11"/>
  <c r="X115" i="3" s="1"/>
  <c r="K210" i="11"/>
  <c r="M210" i="11" s="1"/>
  <c r="H210" i="11"/>
  <c r="AC163" i="11"/>
  <c r="Z106" i="8"/>
  <c r="BE126" i="16"/>
  <c r="AN116" i="16"/>
  <c r="C106" i="18"/>
  <c r="AE116" i="16"/>
  <c r="AM116" i="16"/>
  <c r="BZ116" i="16" s="1"/>
  <c r="BS46" i="6" s="1"/>
  <c r="AP116" i="16"/>
  <c r="B141" i="8" s="1"/>
  <c r="F141" i="8" s="1"/>
  <c r="AO116" i="16"/>
  <c r="AM202" i="11"/>
  <c r="AH112" i="3" s="1"/>
  <c r="AL202" i="11"/>
  <c r="AN166" i="11"/>
  <c r="AO166" i="11" s="1"/>
  <c r="BE126" i="17"/>
  <c r="M107" i="8"/>
  <c r="AC107" i="8"/>
  <c r="U107" i="8"/>
  <c r="T107" i="8"/>
  <c r="L107" i="8"/>
  <c r="AB107" i="8"/>
  <c r="AQ117" i="11"/>
  <c r="D107" i="3"/>
  <c r="N107" i="3" s="1"/>
  <c r="AL162" i="11"/>
  <c r="AM162" i="11"/>
  <c r="X112" i="3" s="1"/>
  <c r="I45" i="6"/>
  <c r="Z22" i="23" s="1"/>
  <c r="I79" i="6"/>
  <c r="J246" i="9"/>
  <c r="G246" i="9"/>
  <c r="H246" i="9"/>
  <c r="AH201" i="11"/>
  <c r="AG201" i="11"/>
  <c r="AI201" i="11"/>
  <c r="AF201" i="11"/>
  <c r="V166" i="11"/>
  <c r="W166" i="11" s="1"/>
  <c r="AH166" i="11"/>
  <c r="AI166" i="11"/>
  <c r="AG166" i="11"/>
  <c r="AF166" i="11"/>
  <c r="W16" i="23"/>
  <c r="O44" i="6"/>
  <c r="S44" i="6" s="1"/>
  <c r="Z43" i="6" s="1"/>
  <c r="Y16" i="23"/>
  <c r="BH126" i="16"/>
  <c r="B213" i="9"/>
  <c r="G213" i="9" s="1"/>
  <c r="AI128" i="16"/>
  <c r="B180" i="9" s="1"/>
  <c r="AC165" i="11"/>
  <c r="Z129" i="11"/>
  <c r="AA129" i="11" s="1"/>
  <c r="AH106" i="8"/>
  <c r="O179" i="6"/>
  <c r="S179" i="6" s="1"/>
  <c r="AX42" i="6" s="1"/>
  <c r="BL125" i="17"/>
  <c r="AQ115" i="17"/>
  <c r="D105" i="19"/>
  <c r="N105" i="19" s="1"/>
  <c r="Q105" i="19" s="1"/>
  <c r="BZ115" i="17"/>
  <c r="BY45" i="6" s="1"/>
  <c r="AC161" i="11"/>
  <c r="BH126" i="17"/>
  <c r="H116" i="19" s="1"/>
  <c r="BD126" i="17"/>
  <c r="BK126" i="17"/>
  <c r="K116" i="19" s="1"/>
  <c r="O107" i="8"/>
  <c r="W107" i="8"/>
  <c r="AE107" i="8"/>
  <c r="AI128" i="11"/>
  <c r="B145" i="9"/>
  <c r="G145" i="9" s="1"/>
  <c r="B111" i="9"/>
  <c r="H111" i="9" s="1"/>
  <c r="BI126" i="16"/>
  <c r="AC164" i="11"/>
  <c r="G280" i="9"/>
  <c r="H280" i="9"/>
  <c r="J280" i="9"/>
  <c r="BI126" i="17"/>
  <c r="I116" i="19" s="1"/>
  <c r="CL130" i="11"/>
  <c r="AJ124"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BB100" i="18"/>
  <c r="BI100"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AE167" i="11" l="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BJ127" i="17"/>
  <c r="J117" i="19" s="1"/>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AU130" i="16"/>
  <c r="AR130" i="16"/>
  <c r="AY130" i="16"/>
  <c r="AX130" i="16"/>
  <c r="BA130" i="16"/>
  <c r="AS130" i="16"/>
  <c r="CD116" i="17"/>
  <c r="CL46" i="6" s="1"/>
  <c r="CB116" i="17"/>
  <c r="AX129" i="17"/>
  <c r="AZ129" i="17"/>
  <c r="AY129" i="17"/>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J166" i="11"/>
  <c r="AN165" i="11"/>
  <c r="AO165" i="11" s="1"/>
  <c r="AN167" i="11"/>
  <c r="AO167" i="11" s="1"/>
  <c r="R105" i="19"/>
  <c r="S105" i="19"/>
  <c r="S105" i="18"/>
  <c r="R105" i="18"/>
  <c r="AG108" i="8"/>
  <c r="Y108" i="8"/>
  <c r="Q108" i="8"/>
  <c r="I80" i="6"/>
  <c r="I46" i="6"/>
  <c r="AA22" i="23" s="1"/>
  <c r="BL126" i="17"/>
  <c r="E116" i="19"/>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AL130" i="16"/>
  <c r="B282" i="9"/>
  <c r="B248" i="9"/>
  <c r="AI129" i="17"/>
  <c r="Z107" i="8"/>
  <c r="O79" i="6"/>
  <c r="S79" i="6" s="1"/>
  <c r="AF44" i="6" s="1"/>
  <c r="G46" i="6"/>
  <c r="G80" i="6"/>
  <c r="BZ118" i="11"/>
  <c r="BM48" i="6" s="1"/>
  <c r="CJ46" i="6"/>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BL126" i="16"/>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A19" i="23" s="1"/>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T101" i="18"/>
  <c r="T102" i="18" s="1"/>
  <c r="T103" i="18" s="1"/>
  <c r="P145" i="9"/>
  <c r="T145" i="9" s="1"/>
  <c r="Q140" i="9"/>
  <c r="Q146" i="9"/>
  <c r="AH54" i="3"/>
  <c r="X54" i="3"/>
  <c r="AH54" i="19"/>
  <c r="AH54" i="18"/>
  <c r="X54" i="18"/>
  <c r="X54" i="19"/>
  <c r="BB101" i="18"/>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BB130" i="16" l="1"/>
  <c r="AZ130" i="16"/>
  <c r="AW130" i="16"/>
  <c r="AJ130" i="16"/>
  <c r="AV130" i="16"/>
  <c r="AJ167" i="11"/>
  <c r="BE127" i="17"/>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CC125" i="11"/>
  <c r="BV120" i="11"/>
  <c r="BY120" i="11"/>
  <c r="BL50" i="6" s="1"/>
  <c r="AS125" i="11"/>
  <c r="AU125" i="11"/>
  <c r="AV125" i="11"/>
  <c r="H110" i="8"/>
  <c r="AR125" i="11"/>
  <c r="AT125" i="11"/>
  <c r="BB125" i="11"/>
  <c r="AH174" i="8"/>
  <c r="I182" i="6" s="1"/>
  <c r="BV118" i="17"/>
  <c r="BY118" i="17"/>
  <c r="BX48" i="6" s="1"/>
  <c r="AJ125" i="11"/>
  <c r="J146" i="9"/>
  <c r="AF118" i="16"/>
  <c r="BV118" i="16"/>
  <c r="BY118" i="16"/>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C130" i="17"/>
  <c r="G110" i="8"/>
  <c r="O180" i="6"/>
  <c r="S180" i="6" s="1"/>
  <c r="AX43" i="6" s="1"/>
  <c r="O214" i="6"/>
  <c r="S214" i="6" s="1"/>
  <c r="BD43" i="6" s="1"/>
  <c r="AN118" i="17"/>
  <c r="AF118" i="17"/>
  <c r="BF128" i="17"/>
  <c r="F118" i="19" s="1"/>
  <c r="H112" i="9"/>
  <c r="AC126" i="11"/>
  <c r="AC56" i="6" s="1"/>
  <c r="AD126" i="11"/>
  <c r="AV126" i="11" s="1"/>
  <c r="AD129" i="11"/>
  <c r="AC129" i="11"/>
  <c r="AC59" i="6" s="1"/>
  <c r="AD130" i="11"/>
  <c r="BA130" i="11" s="1"/>
  <c r="AC130" i="11"/>
  <c r="I110" i="8"/>
  <c r="C110" i="8"/>
  <c r="G146" i="9"/>
  <c r="E110" i="8"/>
  <c r="F110" i="8"/>
  <c r="AP120" i="11"/>
  <c r="B111" i="8" s="1"/>
  <c r="G111" i="8" s="1"/>
  <c r="AF120" i="11"/>
  <c r="G112" i="9"/>
  <c r="G182" i="6"/>
  <c r="BH128" i="17"/>
  <c r="H118" i="19" s="1"/>
  <c r="J141" i="8"/>
  <c r="E117" i="19"/>
  <c r="BJ128" i="17"/>
  <c r="J118" i="19" s="1"/>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O181" i="6" s="1"/>
  <c r="S181" i="6" s="1"/>
  <c r="AX44" i="6" s="1"/>
  <c r="G215" i="6"/>
  <c r="Q175" i="8"/>
  <c r="AG175" i="8"/>
  <c r="Y175" i="8"/>
  <c r="W175" i="8"/>
  <c r="AE175" i="8"/>
  <c r="O175" i="8"/>
  <c r="I147" i="6"/>
  <c r="I113" i="6"/>
  <c r="Z140" i="8"/>
  <c r="O112" i="6"/>
  <c r="S112" i="6" s="1"/>
  <c r="AL43" i="6" s="1"/>
  <c r="G113" i="6"/>
  <c r="G147" i="6"/>
  <c r="E142" i="8"/>
  <c r="I216" i="6"/>
  <c r="BB126" i="11"/>
  <c r="BA126" i="11"/>
  <c r="AT126" i="11"/>
  <c r="AU126" i="11"/>
  <c r="AS126" i="11"/>
  <c r="BZ117" i="17"/>
  <c r="BY47" i="6" s="1"/>
  <c r="AJ207" i="17"/>
  <c r="AE168" i="11"/>
  <c r="V168" i="11"/>
  <c r="W168" i="11" s="1"/>
  <c r="AF168" i="11"/>
  <c r="AI168" i="11"/>
  <c r="AH168" i="11"/>
  <c r="AG168" i="11"/>
  <c r="CD117" i="17"/>
  <c r="CL47" i="6" s="1"/>
  <c r="CB117" i="17"/>
  <c r="CJ47" i="6" s="1"/>
  <c r="CD119" i="11"/>
  <c r="CD49" i="6" s="1"/>
  <c r="CB119" i="11"/>
  <c r="CB49" i="6" s="1"/>
  <c r="AL130" i="17"/>
  <c r="AU130" i="17"/>
  <c r="AV130" i="17"/>
  <c r="AW130" i="17"/>
  <c r="AX130" i="17"/>
  <c r="AR130" i="17"/>
  <c r="AS130" i="17"/>
  <c r="AZ130" i="17"/>
  <c r="AY130" i="17"/>
  <c r="BB130" i="17"/>
  <c r="AT130" i="17"/>
  <c r="BA130" i="17"/>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AJ126" i="11"/>
  <c r="O80" i="6"/>
  <c r="S80" i="6" s="1"/>
  <c r="AF45" i="6" s="1"/>
  <c r="H81" i="6"/>
  <c r="H47" i="6"/>
  <c r="AB19" i="23" s="1"/>
  <c r="J248" i="9"/>
  <c r="G248" i="9"/>
  <c r="H248" i="9"/>
  <c r="AL169" i="11"/>
  <c r="AM169" i="11"/>
  <c r="X119" i="3" s="1"/>
  <c r="AM208" i="11"/>
  <c r="AH118" i="3" s="1"/>
  <c r="AL208" i="11"/>
  <c r="AH108" i="8"/>
  <c r="L109" i="8"/>
  <c r="AB109" i="8"/>
  <c r="T109" i="8"/>
  <c r="V109" i="8"/>
  <c r="N109" i="8"/>
  <c r="AD109" i="8"/>
  <c r="C108" i="18"/>
  <c r="BR48" i="6"/>
  <c r="AE118" i="16"/>
  <c r="AM118" i="16"/>
  <c r="BW118" i="16" s="1"/>
  <c r="AP118" i="16"/>
  <c r="B143" i="8" s="1"/>
  <c r="D143" i="8" s="1"/>
  <c r="AO118" i="16"/>
  <c r="D109" i="3"/>
  <c r="N109" i="3" s="1"/>
  <c r="AQ119" i="11"/>
  <c r="AJ130" i="17"/>
  <c r="BG128" i="17"/>
  <c r="G118" i="19" s="1"/>
  <c r="AA16" i="23"/>
  <c r="O46" i="6"/>
  <c r="S46" i="6" s="1"/>
  <c r="Z45" i="6" s="1"/>
  <c r="G282" i="9"/>
  <c r="H282" i="9"/>
  <c r="J282" i="9"/>
  <c r="CB117" i="16"/>
  <c r="CF47" i="6" s="1"/>
  <c r="CD117" i="16"/>
  <c r="CH47" i="6" s="1"/>
  <c r="I47" i="6"/>
  <c r="AB22" i="23" s="1"/>
  <c r="I81" i="6"/>
  <c r="AN207" i="11"/>
  <c r="AO207" i="11" s="1"/>
  <c r="W109" i="8"/>
  <c r="AE109" i="8"/>
  <c r="O109" i="8"/>
  <c r="G47" i="6"/>
  <c r="Z16" i="23" s="1"/>
  <c r="G81" i="6"/>
  <c r="AK119" i="16"/>
  <c r="AH120" i="16"/>
  <c r="CM119" i="16"/>
  <c r="AK119" i="17"/>
  <c r="CM119" i="17"/>
  <c r="AH120" i="17"/>
  <c r="BK128" i="17"/>
  <c r="K118" i="19" s="1"/>
  <c r="BD128" i="17"/>
  <c r="G180" i="9"/>
  <c r="H180" i="9"/>
  <c r="J180" i="9"/>
  <c r="BZ119" i="11"/>
  <c r="BM49" i="6" s="1"/>
  <c r="B249" i="9"/>
  <c r="G249" i="9" s="1"/>
  <c r="B283" i="9"/>
  <c r="J283" i="9" s="1"/>
  <c r="AI130" i="17"/>
  <c r="BC130" i="16"/>
  <c r="BI130" i="16" s="1"/>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U103" i="18"/>
  <c r="V103" i="18" s="1"/>
  <c r="BI103" i="18" s="1"/>
  <c r="U102" i="18"/>
  <c r="V102" i="18" s="1"/>
  <c r="BI102" i="18" s="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E118" i="19"/>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P117" i="19" l="1"/>
  <c r="BC129" i="17"/>
  <c r="BJ129" i="17"/>
  <c r="BF129" i="17"/>
  <c r="F119" i="19" s="1"/>
  <c r="BB130" i="11"/>
  <c r="BL127" i="17"/>
  <c r="H215" i="9"/>
  <c r="H216" i="6"/>
  <c r="O216" i="6" s="1"/>
  <c r="S216" i="6" s="1"/>
  <c r="BD45" i="6" s="1"/>
  <c r="AJ130" i="11"/>
  <c r="W146" i="9"/>
  <c r="AV130" i="11"/>
  <c r="BI128" i="17"/>
  <c r="I118" i="19" s="1"/>
  <c r="L118" i="19" s="1"/>
  <c r="O182" i="6"/>
  <c r="S182" i="6" s="1"/>
  <c r="AX45" i="6"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B176" i="8"/>
  <c r="T176" i="8"/>
  <c r="L176" i="8"/>
  <c r="Z175" i="8"/>
  <c r="H115" i="6"/>
  <c r="BG129" i="17"/>
  <c r="G119" i="19" s="1"/>
  <c r="AG176" i="8"/>
  <c r="Y176" i="8"/>
  <c r="Q176" i="8"/>
  <c r="AE176" i="8"/>
  <c r="O176" i="8"/>
  <c r="W176" i="8"/>
  <c r="E143" i="8"/>
  <c r="AC143" i="8" s="1"/>
  <c r="C143" i="8"/>
  <c r="R141" i="8"/>
  <c r="AB142" i="8"/>
  <c r="T142" i="8"/>
  <c r="L142" i="8"/>
  <c r="I114" i="6"/>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O114" i="6" s="1"/>
  <c r="S114" i="6" s="1"/>
  <c r="AL45" i="6" s="1"/>
  <c r="BH130" i="16"/>
  <c r="D177" i="8"/>
  <c r="H177" i="8"/>
  <c r="E177" i="8"/>
  <c r="I177" i="8"/>
  <c r="AG177" i="8" s="1"/>
  <c r="F177" i="8"/>
  <c r="C177" i="8"/>
  <c r="G177" i="8"/>
  <c r="W177" i="8" s="1"/>
  <c r="AJ208" i="17"/>
  <c r="X176" i="8"/>
  <c r="P176" i="8"/>
  <c r="AF176" i="8"/>
  <c r="F143" i="8"/>
  <c r="AD143" i="8" s="1"/>
  <c r="W142" i="8"/>
  <c r="O142" i="8"/>
  <c r="AE142" i="8"/>
  <c r="AH141" i="8"/>
  <c r="R175" i="8"/>
  <c r="AN208" i="16"/>
  <c r="AO208" i="16" s="1"/>
  <c r="U143" i="8"/>
  <c r="M143" i="8"/>
  <c r="R109" i="8"/>
  <c r="Z109" i="8"/>
  <c r="AJ168" i="11"/>
  <c r="CD120" i="11"/>
  <c r="CD50" i="6" s="1"/>
  <c r="CB120" i="11"/>
  <c r="CB50" i="6" s="1"/>
  <c r="CD118" i="17"/>
  <c r="CL48" i="6" s="1"/>
  <c r="CB118" i="17"/>
  <c r="CJ48" i="6" s="1"/>
  <c r="BC130" i="17"/>
  <c r="BE130" i="17" s="1"/>
  <c r="E120" i="19" s="1"/>
  <c r="AJ206" i="16"/>
  <c r="AC210" i="17"/>
  <c r="AD210" i="17"/>
  <c r="CE126" i="11"/>
  <c r="CC126" i="11"/>
  <c r="CE126" i="16"/>
  <c r="CI56" i="6" s="1"/>
  <c r="CC126" i="16"/>
  <c r="AH209" i="17"/>
  <c r="AI209" i="17"/>
  <c r="AG209" i="17"/>
  <c r="V209" i="17"/>
  <c r="W209" i="17" s="1"/>
  <c r="AF209" i="17"/>
  <c r="AN210" i="17"/>
  <c r="AO210" i="17" s="1"/>
  <c r="CC128" i="17"/>
  <c r="CE128" i="17"/>
  <c r="CM58" i="6" s="1"/>
  <c r="BE130" i="16"/>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BK129" i="17"/>
  <c r="K119" i="19" s="1"/>
  <c r="BD129" i="17"/>
  <c r="AQ118" i="17"/>
  <c r="D108" i="19"/>
  <c r="N108" i="19" s="1"/>
  <c r="Q108" i="19" s="1"/>
  <c r="C111" i="3"/>
  <c r="AE121" i="11"/>
  <c r="AM121" i="11"/>
  <c r="BW121" i="11" s="1"/>
  <c r="AO121" i="11"/>
  <c r="AN121" i="11"/>
  <c r="BI129" i="17"/>
  <c r="I119" i="19" s="1"/>
  <c r="H48" i="6"/>
  <c r="AC19" i="23" s="1"/>
  <c r="H82" i="6"/>
  <c r="S107" i="18"/>
  <c r="R107" i="18"/>
  <c r="X120" i="19"/>
  <c r="AH109" i="8"/>
  <c r="X119" i="18"/>
  <c r="AF110" i="8"/>
  <c r="X110" i="8"/>
  <c r="P110" i="8"/>
  <c r="AN119" i="17"/>
  <c r="AN119" i="16"/>
  <c r="CD118" i="16"/>
  <c r="CH48" i="6" s="1"/>
  <c r="CB118" i="16"/>
  <c r="CF48" i="6" s="1"/>
  <c r="BZ118" i="16"/>
  <c r="BS48" i="6" s="1"/>
  <c r="BH129" i="17"/>
  <c r="H119" i="19" s="1"/>
  <c r="O47" i="6"/>
  <c r="S47" i="6" s="1"/>
  <c r="Z46" i="6" s="1"/>
  <c r="BZ118" i="17"/>
  <c r="BY48" i="6" s="1"/>
  <c r="AH123" i="11"/>
  <c r="CM123" i="11" s="1"/>
  <c r="AK122" i="11"/>
  <c r="AC208" i="11"/>
  <c r="D110" i="3"/>
  <c r="N110" i="3" s="1"/>
  <c r="AQ120" i="11"/>
  <c r="G82" i="6"/>
  <c r="G48" i="6"/>
  <c r="S107" i="19"/>
  <c r="R107" i="19"/>
  <c r="BG130" i="16"/>
  <c r="BD130" i="16"/>
  <c r="BK130" i="16"/>
  <c r="BF130" i="16"/>
  <c r="B284" i="9"/>
  <c r="B250" i="9"/>
  <c r="AB110" i="8"/>
  <c r="T110" i="8"/>
  <c r="L110" i="8"/>
  <c r="N110" i="8"/>
  <c r="V110" i="8"/>
  <c r="AD110" i="8"/>
  <c r="AK120" i="17"/>
  <c r="CM120" i="17"/>
  <c r="AH121" i="17"/>
  <c r="I48" i="6"/>
  <c r="AC22" i="23" s="1"/>
  <c r="I82" i="6"/>
  <c r="B148" i="9"/>
  <c r="J148" i="9" s="1"/>
  <c r="B114" i="9"/>
  <c r="G114" i="9" s="1"/>
  <c r="V169" i="11"/>
  <c r="W169" i="11" s="1"/>
  <c r="AH169" i="11"/>
  <c r="AI169" i="11"/>
  <c r="AG169" i="11"/>
  <c r="AF169" i="11"/>
  <c r="M110" i="8"/>
  <c r="AC110" i="8"/>
  <c r="U110" i="8"/>
  <c r="W110" i="8"/>
  <c r="O110" i="8"/>
  <c r="AE110" i="8"/>
  <c r="AK120" i="16"/>
  <c r="CM120" i="16"/>
  <c r="AH121" i="16"/>
  <c r="BE129" i="17"/>
  <c r="BJ130" i="16"/>
  <c r="BJ130" i="17"/>
  <c r="J120" i="19" s="1"/>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9" i="1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D112" i="8" l="1"/>
  <c r="P118" i="19"/>
  <c r="BL128" i="17"/>
  <c r="G112" i="8"/>
  <c r="U147" i="9"/>
  <c r="E94" i="6" s="1"/>
  <c r="Y177" i="8"/>
  <c r="CC127" i="11"/>
  <c r="BV120" i="17"/>
  <c r="BY120" i="17"/>
  <c r="BX50" i="6" s="1"/>
  <c r="BY122" i="1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BL129" i="17"/>
  <c r="V143" i="8"/>
  <c r="Z176" i="8"/>
  <c r="N143" i="8"/>
  <c r="AE143" i="8"/>
  <c r="AG144" i="8"/>
  <c r="Y144" i="8"/>
  <c r="Q144" i="8"/>
  <c r="J216" i="9"/>
  <c r="H216" i="9"/>
  <c r="E113" i="8"/>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E178" i="8"/>
  <c r="I178" i="8"/>
  <c r="AG178" i="8" s="1"/>
  <c r="F178" i="8"/>
  <c r="AD178" i="8" s="1"/>
  <c r="C178" i="8"/>
  <c r="K178" i="8" s="1"/>
  <c r="G178" i="8"/>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B119" i="17"/>
  <c r="CJ49" i="6" s="1"/>
  <c r="G49" i="6"/>
  <c r="AB16" i="23" s="1"/>
  <c r="G83" i="6"/>
  <c r="AJ209" i="17"/>
  <c r="CC129" i="17"/>
  <c r="CE129" i="17"/>
  <c r="CM59" i="6" s="1"/>
  <c r="AI210" i="17"/>
  <c r="AH210" i="17"/>
  <c r="V210" i="17"/>
  <c r="W210" i="17" s="1"/>
  <c r="AG210" i="17"/>
  <c r="AF210" i="17"/>
  <c r="CE127" i="16"/>
  <c r="CI57" i="6" s="1"/>
  <c r="CC127" i="16"/>
  <c r="BL130"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BI130" i="17"/>
  <c r="I120" i="19" s="1"/>
  <c r="AQ119" i="16"/>
  <c r="D109" i="18"/>
  <c r="N109" i="18" s="1"/>
  <c r="Q109" i="18" s="1"/>
  <c r="CL49" i="6"/>
  <c r="AH110" i="8"/>
  <c r="AK121" i="17"/>
  <c r="CM121" i="17"/>
  <c r="AH122" i="17"/>
  <c r="G284" i="9"/>
  <c r="H284" i="9"/>
  <c r="J284" i="9"/>
  <c r="AH208" i="11"/>
  <c r="AG208" i="11"/>
  <c r="AI208" i="11"/>
  <c r="AF208" i="11"/>
  <c r="BG130" i="17"/>
  <c r="G120" i="19" s="1"/>
  <c r="O178" i="8"/>
  <c r="W178" i="8"/>
  <c r="AE178" i="8"/>
  <c r="I49" i="6"/>
  <c r="AD22" i="23" s="1"/>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AE120" i="17"/>
  <c r="AM120" i="17"/>
  <c r="BW120" i="17" s="1"/>
  <c r="AP120" i="17"/>
  <c r="B179" i="8" s="1"/>
  <c r="AO120" i="17"/>
  <c r="M178" i="8"/>
  <c r="U178" i="8"/>
  <c r="AC178" i="8"/>
  <c r="C112" i="3"/>
  <c r="BL52" i="6"/>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E119" i="19"/>
  <c r="L119" i="19" s="1"/>
  <c r="J120" i="18"/>
  <c r="J113" i="18"/>
  <c r="I120" i="18"/>
  <c r="G113" i="18"/>
  <c r="F120" i="18"/>
  <c r="H120" i="18"/>
  <c r="L111" i="18"/>
  <c r="AC54" i="3"/>
  <c r="AE54" i="3" s="1"/>
  <c r="AF54" i="3" s="1"/>
  <c r="BC54" i="3" s="1"/>
  <c r="BE54" i="3" s="1"/>
  <c r="BG54" i="3" s="1"/>
  <c r="AB54" i="3"/>
  <c r="AD54" i="3" s="1"/>
  <c r="AA55" i="3"/>
  <c r="AD19" i="2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K120" i="18"/>
  <c r="N86" i="6"/>
  <c r="R86" i="6" s="1"/>
  <c r="AE51" i="6" s="1"/>
  <c r="E120" i="18"/>
  <c r="G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AA144" i="8" l="1"/>
  <c r="AA178" i="8"/>
  <c r="CC128" i="11"/>
  <c r="AF123" i="11"/>
  <c r="BY123" i="11"/>
  <c r="BL53" i="6" s="1"/>
  <c r="BV123" i="11"/>
  <c r="AF121" i="17"/>
  <c r="BV121" i="17"/>
  <c r="BY121" i="17"/>
  <c r="BW122" i="11"/>
  <c r="AF121" i="16"/>
  <c r="BV121" i="16"/>
  <c r="BY121" i="16"/>
  <c r="V209" i="11"/>
  <c r="W209" i="11"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G185" i="6"/>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H150" i="6"/>
  <c r="O149" i="6"/>
  <c r="S149" i="6" s="1"/>
  <c r="AR46" i="6" s="1"/>
  <c r="L178" i="8"/>
  <c r="AB178" i="8"/>
  <c r="T178" i="8"/>
  <c r="H145" i="8"/>
  <c r="AF145" i="8" s="1"/>
  <c r="R143" i="8"/>
  <c r="AH111" i="8"/>
  <c r="Z111" i="8"/>
  <c r="R111" i="8"/>
  <c r="AJ170" i="17"/>
  <c r="CD122" i="11"/>
  <c r="CD52" i="6" s="1"/>
  <c r="CB122" i="11"/>
  <c r="CB52" i="6" s="1"/>
  <c r="CD120" i="17"/>
  <c r="CL50" i="6" s="1"/>
  <c r="CB120" i="17"/>
  <c r="AJ210" i="17"/>
  <c r="CC130" i="17"/>
  <c r="CE130" i="17"/>
  <c r="CM60" i="6" s="1"/>
  <c r="CC128" i="16"/>
  <c r="CE128" i="16"/>
  <c r="CI58" i="6" s="1"/>
  <c r="CE129" i="11"/>
  <c r="CE59" i="6" s="1"/>
  <c r="CC129" i="11"/>
  <c r="AN210" i="16"/>
  <c r="AO210" i="16" s="1"/>
  <c r="P120" i="19"/>
  <c r="BL130" i="17"/>
  <c r="AJ170" i="16"/>
  <c r="AH209" i="16"/>
  <c r="AI209" i="16"/>
  <c r="AG209" i="16"/>
  <c r="V209" i="16"/>
  <c r="W209" i="16" s="1"/>
  <c r="AF209" i="16"/>
  <c r="AD210" i="16"/>
  <c r="AC210" i="16"/>
  <c r="AJ208" i="16"/>
  <c r="AE209" i="16"/>
  <c r="AN170" i="11"/>
  <c r="AO170" i="11" s="1"/>
  <c r="R109" i="19"/>
  <c r="S109" i="19"/>
  <c r="AF112" i="8"/>
  <c r="X112" i="8"/>
  <c r="P112" i="8"/>
  <c r="AC210" i="11"/>
  <c r="CJ50" i="6"/>
  <c r="BZ120" i="17"/>
  <c r="BY50" i="6" s="1"/>
  <c r="AQ120" i="16"/>
  <c r="D110" i="18"/>
  <c r="N110" i="18" s="1"/>
  <c r="Q110" i="18" s="1"/>
  <c r="AJ208" i="11"/>
  <c r="M145" i="8"/>
  <c r="I50" i="6"/>
  <c r="AE22" i="23" s="1"/>
  <c r="I84" i="6"/>
  <c r="R109" i="18"/>
  <c r="S109" i="18"/>
  <c r="V170" i="11"/>
  <c r="W170" i="11" s="1"/>
  <c r="AH170" i="11"/>
  <c r="AG170" i="11"/>
  <c r="AI170" i="11"/>
  <c r="AF170" i="11"/>
  <c r="C111" i="18"/>
  <c r="BR51" i="6"/>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BX51" i="6"/>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W145" i="8"/>
  <c r="N145" i="8"/>
  <c r="V145" i="8"/>
  <c r="AD145" i="8"/>
  <c r="CB120" i="16"/>
  <c r="CF50" i="6" s="1"/>
  <c r="CD120" i="16"/>
  <c r="CH50" i="6" s="1"/>
  <c r="AE209" i="11"/>
  <c r="H50" i="6"/>
  <c r="AE19" i="23" s="1"/>
  <c r="H84" i="6"/>
  <c r="AN121" i="17"/>
  <c r="AH125" i="11"/>
  <c r="AK124" i="11"/>
  <c r="P145" i="8"/>
  <c r="X145" i="8"/>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P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H117" i="6" l="1"/>
  <c r="O145" i="8"/>
  <c r="AC145" i="8"/>
  <c r="AF122" i="16"/>
  <c r="BV122" i="16"/>
  <c r="BY122" i="16"/>
  <c r="AF122" i="17"/>
  <c r="BY122" i="17"/>
  <c r="BX52" i="6" s="1"/>
  <c r="BV122" i="17"/>
  <c r="AF124" i="11"/>
  <c r="BY124" i="11"/>
  <c r="BV124" i="11"/>
  <c r="V210" i="11"/>
  <c r="W210" i="11" s="1"/>
  <c r="AE210" i="16"/>
  <c r="Z144" i="8"/>
  <c r="H152" i="6" s="1"/>
  <c r="P119" i="18"/>
  <c r="L119" i="18"/>
  <c r="Z178" i="8"/>
  <c r="AH178" i="8"/>
  <c r="I186" i="6" s="1"/>
  <c r="R178" i="8"/>
  <c r="G186" i="6" s="1"/>
  <c r="H185" i="6"/>
  <c r="K145" i="8"/>
  <c r="S145" i="8"/>
  <c r="Y145" i="8"/>
  <c r="T145" i="8"/>
  <c r="H118" i="6"/>
  <c r="AH144" i="8"/>
  <c r="I118" i="6" s="1"/>
  <c r="J145" i="8"/>
  <c r="Q145" i="8"/>
  <c r="L145" i="8"/>
  <c r="I117" i="6"/>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AF19" i="23" s="1"/>
  <c r="I85" i="6"/>
  <c r="I51" i="6"/>
  <c r="AF22" i="23" s="1"/>
  <c r="CD121" i="17"/>
  <c r="CL51" i="6" s="1"/>
  <c r="CB121" i="17"/>
  <c r="CJ51" i="6" s="1"/>
  <c r="CD123" i="11"/>
  <c r="CD53" i="6" s="1"/>
  <c r="CB123" i="11"/>
  <c r="CB53" i="6" s="1"/>
  <c r="G85" i="6"/>
  <c r="G51" i="6"/>
  <c r="CE130" i="11"/>
  <c r="CE60" i="6" s="1"/>
  <c r="CC130" i="11"/>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BR52" i="6"/>
  <c r="AE122" i="16"/>
  <c r="AM122" i="16"/>
  <c r="BW122" i="16" s="1"/>
  <c r="AO122" i="16"/>
  <c r="AP122" i="16"/>
  <c r="B147" i="8" s="1"/>
  <c r="H147" i="8" s="1"/>
  <c r="C112" i="19"/>
  <c r="AE122" i="17"/>
  <c r="AM122" i="17"/>
  <c r="BW122" i="17" s="1"/>
  <c r="AP122" i="17"/>
  <c r="B181" i="8" s="1"/>
  <c r="AO122" i="17"/>
  <c r="C114" i="3"/>
  <c r="BL54" i="6"/>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AH145" i="8"/>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H186" i="6"/>
  <c r="H220"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G220" i="6" l="1"/>
  <c r="Z145" i="8"/>
  <c r="I220" i="6"/>
  <c r="AF123" i="16"/>
  <c r="BV123" i="16"/>
  <c r="BY123" i="16"/>
  <c r="BV125" i="11"/>
  <c r="BY125" i="11"/>
  <c r="BL55" i="6" s="1"/>
  <c r="AF123" i="17"/>
  <c r="BV123" i="17"/>
  <c r="BY123" i="17"/>
  <c r="BX53" i="6" s="1"/>
  <c r="O185" i="6"/>
  <c r="S185" i="6" s="1"/>
  <c r="AX48" i="6" s="1"/>
  <c r="I152" i="6"/>
  <c r="O152" i="6" s="1"/>
  <c r="S152" i="6" s="1"/>
  <c r="AR49" i="6" s="1"/>
  <c r="R145" i="8"/>
  <c r="G119" i="6" s="1"/>
  <c r="G118" i="6"/>
  <c r="O118" i="6" s="1"/>
  <c r="S118" i="6" s="1"/>
  <c r="AL49" i="6" s="1"/>
  <c r="AP125" i="11"/>
  <c r="B116" i="8" s="1"/>
  <c r="D116" i="8" s="1"/>
  <c r="AF125" i="11"/>
  <c r="O117" i="6"/>
  <c r="S117" i="6" s="1"/>
  <c r="AL48" i="6" s="1"/>
  <c r="C147" i="8"/>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F181" i="8"/>
  <c r="N181" i="8" s="1"/>
  <c r="C181" i="8"/>
  <c r="AA181" i="8" s="1"/>
  <c r="G181" i="8"/>
  <c r="O181" i="8" s="1"/>
  <c r="X146" i="8"/>
  <c r="P146" i="8"/>
  <c r="AF146" i="8"/>
  <c r="V180" i="8"/>
  <c r="N180" i="8"/>
  <c r="AD180" i="8"/>
  <c r="L180" i="8"/>
  <c r="T180" i="8"/>
  <c r="AB180" i="8"/>
  <c r="AE146" i="8"/>
  <c r="O146" i="8"/>
  <c r="W146" i="8"/>
  <c r="O220" i="6"/>
  <c r="S220" i="6" s="1"/>
  <c r="BD49" i="6" s="1"/>
  <c r="BZ124" i="11"/>
  <c r="BM54" i="6" s="1"/>
  <c r="O85" i="6"/>
  <c r="S85" i="6" s="1"/>
  <c r="AF50" i="6" s="1"/>
  <c r="CD124" i="11"/>
  <c r="CD54" i="6" s="1"/>
  <c r="CB124" i="11"/>
  <c r="CB54" i="6" s="1"/>
  <c r="CD122" i="17"/>
  <c r="CL52" i="6" s="1"/>
  <c r="CB122" i="17"/>
  <c r="CJ52" i="6" s="1"/>
  <c r="AD16" i="23"/>
  <c r="O51" i="6"/>
  <c r="S51" i="6" s="1"/>
  <c r="Z50" i="6" s="1"/>
  <c r="CE130" i="16"/>
  <c r="CI60" i="6" s="1"/>
  <c r="CC130" i="16"/>
  <c r="AJ210" i="16"/>
  <c r="V181" i="8"/>
  <c r="AN123" i="17"/>
  <c r="P181" i="8"/>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AD147" i="8"/>
  <c r="O186" i="6"/>
  <c r="S186" i="6" s="1"/>
  <c r="AX49" i="6" s="1"/>
  <c r="S147" i="8"/>
  <c r="AA147" i="8"/>
  <c r="K147" i="8"/>
  <c r="G86" i="6"/>
  <c r="G52" i="6"/>
  <c r="AK124" i="17"/>
  <c r="CM124" i="17"/>
  <c r="AH125" i="17"/>
  <c r="AK124" i="16"/>
  <c r="CM124" i="16"/>
  <c r="AH125" i="16"/>
  <c r="R113" i="8"/>
  <c r="I119" i="6"/>
  <c r="I153" i="6"/>
  <c r="AH127" i="11"/>
  <c r="AK126" i="11"/>
  <c r="U114" i="8"/>
  <c r="M114" i="8"/>
  <c r="AC114" i="8"/>
  <c r="H119" i="6"/>
  <c r="H153" i="6"/>
  <c r="AQ124" i="11"/>
  <c r="D114" i="3"/>
  <c r="N114" i="3" s="1"/>
  <c r="BZ122" i="17"/>
  <c r="BY52" i="6" s="1"/>
  <c r="H86" i="6"/>
  <c r="H52" i="6"/>
  <c r="AG19" i="23" s="1"/>
  <c r="P147" i="8"/>
  <c r="AF147" i="8"/>
  <c r="X147" i="8"/>
  <c r="S111" i="19"/>
  <c r="R111" i="19"/>
  <c r="AE114" i="8"/>
  <c r="O114" i="8"/>
  <c r="W114" i="8"/>
  <c r="I52" i="6"/>
  <c r="AG22" i="23" s="1"/>
  <c r="I86" i="6"/>
  <c r="AQ122" i="16"/>
  <c r="D112" i="18"/>
  <c r="N112" i="18" s="1"/>
  <c r="Q112" i="18" s="1"/>
  <c r="Q181" i="8"/>
  <c r="AG181" i="8"/>
  <c r="Y181" i="8"/>
  <c r="C113" i="19"/>
  <c r="AE123" i="17"/>
  <c r="AM123" i="17"/>
  <c r="BW123" i="17" s="1"/>
  <c r="AO123" i="17"/>
  <c r="AP123" i="17"/>
  <c r="B182" i="8" s="1"/>
  <c r="AN123" i="16"/>
  <c r="C113" i="18"/>
  <c r="BR53" i="6"/>
  <c r="AE123" i="16"/>
  <c r="AM123" i="16"/>
  <c r="BW123" i="16" s="1"/>
  <c r="AP123" i="16"/>
  <c r="B148" i="8" s="1"/>
  <c r="I148" i="8" s="1"/>
  <c r="AO123" i="16"/>
  <c r="Z113" i="8"/>
  <c r="AN125" i="11"/>
  <c r="P114" i="8"/>
  <c r="X114" i="8"/>
  <c r="AF114" i="8"/>
  <c r="J114" i="8"/>
  <c r="K114" i="8"/>
  <c r="AA114" i="8"/>
  <c r="S114" i="8"/>
  <c r="Q147"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V147" i="8" l="1"/>
  <c r="AD181" i="8"/>
  <c r="AG147" i="8"/>
  <c r="AE147" i="8"/>
  <c r="W147" i="8"/>
  <c r="G153" i="6"/>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R147" i="8" s="1"/>
  <c r="M181" i="8"/>
  <c r="J181" i="8"/>
  <c r="Z180" i="8"/>
  <c r="I221" i="6"/>
  <c r="I187" i="6"/>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Z181" i="8" s="1"/>
  <c r="AB181" i="8"/>
  <c r="AH180" i="8"/>
  <c r="Z146" i="8"/>
  <c r="R114" i="8"/>
  <c r="G54" i="6" s="1"/>
  <c r="AI16" i="23" s="1"/>
  <c r="CD125" i="11"/>
  <c r="CD55" i="6" s="1"/>
  <c r="CB125" i="11"/>
  <c r="CB55" i="6" s="1"/>
  <c r="CD123" i="17"/>
  <c r="CL53" i="6" s="1"/>
  <c r="CB123" i="17"/>
  <c r="CJ53" i="6" s="1"/>
  <c r="BZ123" i="16"/>
  <c r="BS53" i="6" s="1"/>
  <c r="AH128" i="11"/>
  <c r="AK127" i="11"/>
  <c r="CM127" i="11"/>
  <c r="G53" i="6"/>
  <c r="G87" i="6"/>
  <c r="AE16" i="23"/>
  <c r="AG16" i="23"/>
  <c r="O52" i="6"/>
  <c r="S52" i="6" s="1"/>
  <c r="Z51" i="6" s="1"/>
  <c r="AG115" i="8"/>
  <c r="Q115" i="8"/>
  <c r="Y115" i="8"/>
  <c r="I53" i="6"/>
  <c r="I87" i="6"/>
  <c r="Y148" i="8"/>
  <c r="Q148" i="8"/>
  <c r="AG148" i="8"/>
  <c r="AK125" i="16"/>
  <c r="AH126" i="16"/>
  <c r="CM125" i="16"/>
  <c r="AC115" i="8"/>
  <c r="M115" i="8"/>
  <c r="U115" i="8"/>
  <c r="O153" i="6"/>
  <c r="S153" i="6" s="1"/>
  <c r="AR50" i="6" s="1"/>
  <c r="H53" i="6"/>
  <c r="H87" i="6"/>
  <c r="CD123" i="16"/>
  <c r="CH53" i="6" s="1"/>
  <c r="CB123" i="16"/>
  <c r="CF53" i="6" s="1"/>
  <c r="AA182" i="8"/>
  <c r="S182" i="8"/>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K148"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H147" i="8" l="1"/>
  <c r="AC148" i="8"/>
  <c r="Y182" i="8"/>
  <c r="AG182" i="8"/>
  <c r="W148" i="8"/>
  <c r="Z147" i="8"/>
  <c r="AE148" i="8"/>
  <c r="R181" i="8"/>
  <c r="G189" i="6" s="1"/>
  <c r="AF182" i="8"/>
  <c r="V182" i="8"/>
  <c r="AF125" i="16"/>
  <c r="BV125" i="16"/>
  <c r="BY125" i="16"/>
  <c r="AF127" i="11"/>
  <c r="BV127" i="11"/>
  <c r="BY127" i="11"/>
  <c r="BL57" i="6" s="1"/>
  <c r="BW124" i="16"/>
  <c r="AF125" i="17"/>
  <c r="BV125" i="17"/>
  <c r="BY125" i="17"/>
  <c r="AE182" i="8"/>
  <c r="AH181" i="8"/>
  <c r="I189" i="6" s="1"/>
  <c r="AC182" i="8"/>
  <c r="O182" i="8"/>
  <c r="M182" i="8"/>
  <c r="AB148" i="8"/>
  <c r="AA148" i="8"/>
  <c r="AD148" i="8"/>
  <c r="N148" i="8"/>
  <c r="L148" i="8"/>
  <c r="J182" i="8"/>
  <c r="H121" i="6"/>
  <c r="H155" i="6"/>
  <c r="M148" i="8"/>
  <c r="J148" i="8"/>
  <c r="N182" i="8"/>
  <c r="O187" i="6"/>
  <c r="S187" i="6" s="1"/>
  <c r="AX50" i="6" s="1"/>
  <c r="P182" i="8"/>
  <c r="G88" i="6"/>
  <c r="G154" i="6"/>
  <c r="H222" i="6"/>
  <c r="H188" i="6"/>
  <c r="AB182" i="8"/>
  <c r="T182" i="8"/>
  <c r="Z182" i="8" s="1"/>
  <c r="L182" i="8"/>
  <c r="D149" i="8"/>
  <c r="I149" i="8"/>
  <c r="Q149" i="8" s="1"/>
  <c r="H120" i="6"/>
  <c r="H154" i="6"/>
  <c r="X148" i="8"/>
  <c r="Z148" i="8" s="1"/>
  <c r="AF148" i="8"/>
  <c r="P148" i="8"/>
  <c r="G149" i="8"/>
  <c r="E149" i="8"/>
  <c r="I188" i="6"/>
  <c r="I222" i="6"/>
  <c r="G222" i="6"/>
  <c r="G188" i="6"/>
  <c r="I154" i="6"/>
  <c r="I120" i="6"/>
  <c r="O120" i="6" s="1"/>
  <c r="S120" i="6" s="1"/>
  <c r="AL51" i="6" s="1"/>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BX55" i="6"/>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H189" i="6"/>
  <c r="H223" i="6"/>
  <c r="AF183" i="8"/>
  <c r="V116" i="8"/>
  <c r="N116" i="8"/>
  <c r="AD116" i="8"/>
  <c r="M116" i="8"/>
  <c r="AC116" i="8"/>
  <c r="U116" i="8"/>
  <c r="V183" i="8"/>
  <c r="Z115" i="8"/>
  <c r="I155" i="6"/>
  <c r="I121" i="6"/>
  <c r="AQ124" i="16"/>
  <c r="D114" i="18"/>
  <c r="N114" i="18" s="1"/>
  <c r="Q114" i="18" s="1"/>
  <c r="AK126" i="17"/>
  <c r="CM126" i="17"/>
  <c r="AH127" i="17"/>
  <c r="G121" i="6"/>
  <c r="G155" i="6"/>
  <c r="I223" i="6"/>
  <c r="H88" i="6"/>
  <c r="H54" i="6"/>
  <c r="AI19" i="23" s="1"/>
  <c r="CM126" i="16"/>
  <c r="AH127" i="16"/>
  <c r="AK126" i="16"/>
  <c r="AB116" i="8"/>
  <c r="T116" i="8"/>
  <c r="L116" i="8"/>
  <c r="AD149" i="8"/>
  <c r="V149" i="8"/>
  <c r="N149" i="8"/>
  <c r="AH115" i="8"/>
  <c r="I54" i="6"/>
  <c r="AI22" i="23" s="1"/>
  <c r="I88" i="6"/>
  <c r="AN125" i="16"/>
  <c r="C115" i="18"/>
  <c r="BR55" i="6"/>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AH148" i="8" l="1"/>
  <c r="G223" i="6"/>
  <c r="O223" i="6" s="1"/>
  <c r="S223" i="6" s="1"/>
  <c r="BD52" i="6" s="1"/>
  <c r="AB183" i="8"/>
  <c r="AH182" i="8"/>
  <c r="I224" i="6" s="1"/>
  <c r="BV128" i="11"/>
  <c r="BY128" i="1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O121" i="6"/>
  <c r="S121" i="6" s="1"/>
  <c r="AL52" i="6" s="1"/>
  <c r="Z116" i="8"/>
  <c r="H90" i="6" s="1"/>
  <c r="CD125" i="17"/>
  <c r="CL55" i="6" s="1"/>
  <c r="CB125" i="17"/>
  <c r="CJ55" i="6" s="1"/>
  <c r="CD127" i="11"/>
  <c r="CB127" i="11"/>
  <c r="CB57" i="6" s="1"/>
  <c r="O88" i="6"/>
  <c r="S88" i="6" s="1"/>
  <c r="AF53" i="6" s="1"/>
  <c r="CB125" i="16"/>
  <c r="CF55" i="6" s="1"/>
  <c r="CD125" i="16"/>
  <c r="CH55" i="6" s="1"/>
  <c r="AH116" i="8"/>
  <c r="N117" i="8"/>
  <c r="V117" i="8"/>
  <c r="AD117" i="8"/>
  <c r="I89" i="6"/>
  <c r="I55" i="6"/>
  <c r="Q150" i="8"/>
  <c r="Y150" i="8"/>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156" i="6"/>
  <c r="G89" i="6"/>
  <c r="G55" i="6"/>
  <c r="AB117" i="8"/>
  <c r="T117" i="8"/>
  <c r="L117" i="8"/>
  <c r="M117" i="8"/>
  <c r="AC117" i="8"/>
  <c r="U117" i="8"/>
  <c r="AK127" i="17"/>
  <c r="CM127" i="17"/>
  <c r="AH128" i="17"/>
  <c r="H122" i="6"/>
  <c r="H156" i="6"/>
  <c r="C118" i="3"/>
  <c r="BL58" i="6"/>
  <c r="AE128" i="11"/>
  <c r="AM128" i="11"/>
  <c r="BW128" i="11" s="1"/>
  <c r="AO128" i="11"/>
  <c r="S114" i="19"/>
  <c r="R114" i="19"/>
  <c r="AQ127" i="11"/>
  <c r="D117" i="3"/>
  <c r="N117" i="3" s="1"/>
  <c r="CD57" i="6"/>
  <c r="BZ127" i="11"/>
  <c r="BM57" i="6" s="1"/>
  <c r="K150" i="8"/>
  <c r="R116" i="8"/>
  <c r="I122" i="6"/>
  <c r="I156" i="6"/>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S150" i="8" l="1"/>
  <c r="AF184" i="8"/>
  <c r="I190" i="6"/>
  <c r="O190" i="6" s="1"/>
  <c r="S190" i="6" s="1"/>
  <c r="AX53" i="6" s="1"/>
  <c r="G224" i="6"/>
  <c r="O224" i="6" s="1"/>
  <c r="S224" i="6" s="1"/>
  <c r="BD53" i="6" s="1"/>
  <c r="AH183" i="8"/>
  <c r="I225" i="6" s="1"/>
  <c r="AC184" i="8"/>
  <c r="BV127" i="16"/>
  <c r="BY127" i="16"/>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R150" i="8" s="1"/>
  <c r="V184" i="8"/>
  <c r="L184" i="8"/>
  <c r="W184" i="8"/>
  <c r="AF150" i="8"/>
  <c r="D185" i="8"/>
  <c r="H185" i="8"/>
  <c r="E185" i="8"/>
  <c r="I185" i="8"/>
  <c r="F185" i="8"/>
  <c r="G185" i="8"/>
  <c r="C185" i="8"/>
  <c r="AG184" i="8"/>
  <c r="V150" i="8"/>
  <c r="E151" i="8"/>
  <c r="C151" i="8"/>
  <c r="J150" i="8"/>
  <c r="H56" i="6"/>
  <c r="AK19" i="23" s="1"/>
  <c r="F113" i="11"/>
  <c r="D141" i="7" s="1"/>
  <c r="CD126" i="17"/>
  <c r="CL56" i="6" s="1"/>
  <c r="CB126" i="17"/>
  <c r="CJ56" i="6" s="1"/>
  <c r="O89" i="6"/>
  <c r="S89" i="6" s="1"/>
  <c r="AF54" i="6" s="1"/>
  <c r="CD128" i="11"/>
  <c r="CD58" i="6" s="1"/>
  <c r="CB128" i="11"/>
  <c r="CB58" i="6" s="1"/>
  <c r="S115" i="19"/>
  <c r="R115" i="19"/>
  <c r="AH22" i="23"/>
  <c r="AJ22" i="23"/>
  <c r="AF118" i="8"/>
  <c r="X118" i="8"/>
  <c r="P118" i="8"/>
  <c r="AH19" i="23"/>
  <c r="AJ19" i="23"/>
  <c r="G56" i="6"/>
  <c r="G90" i="6"/>
  <c r="C117" i="19"/>
  <c r="AE127" i="17"/>
  <c r="AM127" i="17"/>
  <c r="BW127" i="17" s="1"/>
  <c r="AP127" i="17"/>
  <c r="B186" i="8" s="1"/>
  <c r="AO127" i="17"/>
  <c r="H157" i="6"/>
  <c r="H123" i="6"/>
  <c r="AQ126" i="16"/>
  <c r="D116" i="18"/>
  <c r="N116" i="18" s="1"/>
  <c r="Q116" i="18" s="1"/>
  <c r="Z117" i="8"/>
  <c r="I56" i="6"/>
  <c r="AK22" i="23" s="1"/>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BR57" i="6"/>
  <c r="AE127" i="16"/>
  <c r="AM127" i="16"/>
  <c r="BZ127" i="16" s="1"/>
  <c r="BS57" i="6" s="1"/>
  <c r="AP127" i="16"/>
  <c r="B152" i="8" s="1"/>
  <c r="I152" i="8" s="1"/>
  <c r="AO127" i="16"/>
  <c r="AK128" i="17"/>
  <c r="CM128" i="17"/>
  <c r="AH129" i="17"/>
  <c r="AH16" i="23"/>
  <c r="O55" i="6"/>
  <c r="S55" i="6" s="1"/>
  <c r="Z54" i="6" s="1"/>
  <c r="AJ16" i="23"/>
  <c r="O156" i="6"/>
  <c r="S156" i="6" s="1"/>
  <c r="AR53"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F114" i="11"/>
  <c r="D142" i="7" s="1"/>
  <c r="I157" i="6" l="1"/>
  <c r="I191" i="6"/>
  <c r="R184" i="8"/>
  <c r="AF130" i="11"/>
  <c r="BV130" i="11"/>
  <c r="BY130" i="11"/>
  <c r="BW129" i="11"/>
  <c r="BW127" i="16"/>
  <c r="AF128" i="17"/>
  <c r="BY128" i="17"/>
  <c r="BX58" i="6" s="1"/>
  <c r="BV128" i="17"/>
  <c r="AF128" i="16"/>
  <c r="BV128" i="16"/>
  <c r="BY128" i="16"/>
  <c r="G191" i="6"/>
  <c r="O225" i="6"/>
  <c r="S225" i="6" s="1"/>
  <c r="BD54" i="6" s="1"/>
  <c r="Q151" i="8"/>
  <c r="G157" i="6"/>
  <c r="H191" i="6"/>
  <c r="Z150" i="8"/>
  <c r="H158" i="6" s="1"/>
  <c r="Z184" i="8"/>
  <c r="H192" i="6" s="1"/>
  <c r="AH150" i="8"/>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G158" i="6"/>
  <c r="Q185" i="8"/>
  <c r="AG185" i="8"/>
  <c r="Y185" i="8"/>
  <c r="AN130" i="11"/>
  <c r="AP130" i="11"/>
  <c r="B121" i="8" s="1"/>
  <c r="E186" i="8"/>
  <c r="AC186" i="8" s="1"/>
  <c r="I186" i="8"/>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Q186" i="8"/>
  <c r="CD129" i="11"/>
  <c r="CD59" i="6" s="1"/>
  <c r="CB129" i="11"/>
  <c r="CB59" i="6" s="1"/>
  <c r="Z118" i="8"/>
  <c r="H58" i="6" s="1"/>
  <c r="AM19" i="23" s="1"/>
  <c r="CD127" i="17"/>
  <c r="CL57" i="6" s="1"/>
  <c r="CB127" i="17"/>
  <c r="CJ57" i="6" s="1"/>
  <c r="BZ127" i="17"/>
  <c r="BY57" i="6" s="1"/>
  <c r="R116" i="18"/>
  <c r="S116" i="18"/>
  <c r="AB152" i="8"/>
  <c r="C118" i="19"/>
  <c r="AE128" i="17"/>
  <c r="AM128" i="17"/>
  <c r="BW128" i="17" s="1"/>
  <c r="AO128" i="17"/>
  <c r="AP128" i="17"/>
  <c r="B187" i="8" s="1"/>
  <c r="Q119" i="8"/>
  <c r="Y119" i="8"/>
  <c r="AG119" i="8"/>
  <c r="P152" i="8"/>
  <c r="AF152" i="8"/>
  <c r="G91" i="6"/>
  <c r="G57" i="6"/>
  <c r="AL16" i="23" s="1"/>
  <c r="S116" i="19"/>
  <c r="R116" i="19"/>
  <c r="AK129" i="16"/>
  <c r="CM129" i="16"/>
  <c r="AH130" i="16"/>
  <c r="R118" i="8"/>
  <c r="O90" i="6"/>
  <c r="S90" i="6" s="1"/>
  <c r="AF55" i="6" s="1"/>
  <c r="W186" i="8"/>
  <c r="AQ127" i="16"/>
  <c r="D117" i="18"/>
  <c r="N117" i="18" s="1"/>
  <c r="Q117" i="18" s="1"/>
  <c r="D119" i="3"/>
  <c r="N119" i="3" s="1"/>
  <c r="AQ129" i="11"/>
  <c r="C118" i="18"/>
  <c r="BR58" i="6"/>
  <c r="AE128" i="16"/>
  <c r="AM128" i="16"/>
  <c r="BW128" i="16" s="1"/>
  <c r="AP128" i="16"/>
  <c r="B153" i="8" s="1"/>
  <c r="F153" i="8" s="1"/>
  <c r="AO128" i="16"/>
  <c r="Y152" i="8"/>
  <c r="Q152" i="8"/>
  <c r="AG152" i="8"/>
  <c r="AN128" i="17"/>
  <c r="U119" i="8"/>
  <c r="AC119" i="8"/>
  <c r="M119" i="8"/>
  <c r="AE119" i="8"/>
  <c r="W119" i="8"/>
  <c r="O119" i="8"/>
  <c r="CD127" i="16"/>
  <c r="CH57" i="6" s="1"/>
  <c r="CB127" i="16"/>
  <c r="CF57" i="6" s="1"/>
  <c r="I124" i="6"/>
  <c r="I158" i="6"/>
  <c r="AK16" i="23"/>
  <c r="O56" i="6"/>
  <c r="S56" i="6" s="1"/>
  <c r="Z55" i="6" s="1"/>
  <c r="O157" i="6"/>
  <c r="S157" i="6" s="1"/>
  <c r="AR54" i="6" s="1"/>
  <c r="T119" i="8"/>
  <c r="AB119" i="8"/>
  <c r="L119" i="8"/>
  <c r="G226" i="6"/>
  <c r="G192" i="6"/>
  <c r="C120" i="3"/>
  <c r="BL60" i="6"/>
  <c r="AE130" i="11"/>
  <c r="AM130" i="11"/>
  <c r="BW130" i="11" s="1"/>
  <c r="AO130" i="11"/>
  <c r="AK129" i="17"/>
  <c r="CM129" i="17"/>
  <c r="AH130" i="17"/>
  <c r="AD119" i="8"/>
  <c r="V119" i="8"/>
  <c r="N119" i="8"/>
  <c r="X119" i="8"/>
  <c r="P119" i="8"/>
  <c r="AF119" i="8"/>
  <c r="K119" i="8"/>
  <c r="AA119" i="8"/>
  <c r="J119" i="8"/>
  <c r="S119" i="8"/>
  <c r="V152" i="8"/>
  <c r="AN128" i="16"/>
  <c r="AH118" i="8"/>
  <c r="I91" i="6"/>
  <c r="I57" i="6"/>
  <c r="H57" i="6"/>
  <c r="AL19" i="23" s="1"/>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K186" i="8" l="1"/>
  <c r="L152" i="8"/>
  <c r="W152" i="8"/>
  <c r="AD152" i="8"/>
  <c r="AH152" i="8" s="1"/>
  <c r="I126" i="6" s="1"/>
  <c r="O152" i="8"/>
  <c r="M152" i="8"/>
  <c r="R152" i="8" s="1"/>
  <c r="G126" i="6" s="1"/>
  <c r="M186" i="8"/>
  <c r="U186" i="8"/>
  <c r="AA186" i="8"/>
  <c r="O191" i="6"/>
  <c r="S191" i="6" s="1"/>
  <c r="AX54" i="6" s="1"/>
  <c r="L186" i="8"/>
  <c r="I226" i="6"/>
  <c r="T186" i="8"/>
  <c r="AF129" i="16"/>
  <c r="BV129" i="16"/>
  <c r="BY129" i="16"/>
  <c r="BR59" i="6" s="1"/>
  <c r="AF129" i="17"/>
  <c r="BV129" i="17"/>
  <c r="BY129" i="17"/>
  <c r="BX59" i="6" s="1"/>
  <c r="H124" i="6"/>
  <c r="O124" i="6" s="1"/>
  <c r="S124" i="6" s="1"/>
  <c r="AL55" i="6" s="1"/>
  <c r="U152" i="8"/>
  <c r="J152" i="8"/>
  <c r="AV103" i="3"/>
  <c r="N186" i="8"/>
  <c r="H226" i="6"/>
  <c r="O158" i="6"/>
  <c r="S158" i="6" s="1"/>
  <c r="AR55" i="6" s="1"/>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AL22" i="23"/>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AM22" i="23" s="1"/>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87" i="8" l="1"/>
  <c r="AC187" i="8"/>
  <c r="M187" i="8"/>
  <c r="AE187" i="8"/>
  <c r="O226" i="6"/>
  <c r="S226" i="6" s="1"/>
  <c r="BD55" i="6" s="1"/>
  <c r="L187" i="8"/>
  <c r="Z186" i="8"/>
  <c r="H228" i="6" s="1"/>
  <c r="AF130" i="17"/>
  <c r="BY130" i="17"/>
  <c r="BX60" i="6" s="1"/>
  <c r="BV130" i="17"/>
  <c r="AF130" i="16"/>
  <c r="BV130" i="16"/>
  <c r="BY130" i="16"/>
  <c r="Z152" i="8"/>
  <c r="H126" i="6" s="1"/>
  <c r="O126" i="6" s="1"/>
  <c r="S126" i="6" s="1"/>
  <c r="AL57" i="6" s="1"/>
  <c r="H194" i="6"/>
  <c r="N187" i="8"/>
  <c r="X187" i="8"/>
  <c r="V187" i="8"/>
  <c r="AF187" i="8"/>
  <c r="P153" i="8"/>
  <c r="H125" i="6"/>
  <c r="I59" i="6"/>
  <c r="AN22" i="23" s="1"/>
  <c r="R186" i="8"/>
  <c r="G228" i="6" s="1"/>
  <c r="Q187" i="8"/>
  <c r="I160" i="6"/>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G159" i="6"/>
  <c r="D154" i="8"/>
  <c r="AA153" i="8"/>
  <c r="K153" i="8"/>
  <c r="S153" i="8"/>
  <c r="U153" i="8"/>
  <c r="M153" i="8"/>
  <c r="AC153" i="8"/>
  <c r="AG153" i="8"/>
  <c r="Q153" i="8"/>
  <c r="Y153" i="8"/>
  <c r="I193" i="6"/>
  <c r="I227" i="6"/>
  <c r="I125" i="6"/>
  <c r="I159" i="6"/>
  <c r="I154" i="8"/>
  <c r="W153" i="8"/>
  <c r="AE153" i="8"/>
  <c r="O153" i="8"/>
  <c r="T153" i="8"/>
  <c r="L153" i="8"/>
  <c r="AB153" i="8"/>
  <c r="H160" i="6"/>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AN19" i="23" s="1"/>
  <c r="I228" i="6"/>
  <c r="S118" i="19"/>
  <c r="R118" i="19"/>
  <c r="N121" i="8"/>
  <c r="V121" i="8"/>
  <c r="AD121" i="8"/>
  <c r="C120" i="19"/>
  <c r="AE130" i="17"/>
  <c r="AM130" i="17"/>
  <c r="BW130" i="17" s="1"/>
  <c r="AO130" i="17"/>
  <c r="AP130" i="17"/>
  <c r="B189" i="8" s="1"/>
  <c r="C120" i="18"/>
  <c r="BR60" i="6"/>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AM16" i="23"/>
  <c r="Q154" i="8"/>
  <c r="AG154" i="8"/>
  <c r="Y154" i="8"/>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C188" i="8" l="1"/>
  <c r="R187" i="8"/>
  <c r="M188" i="8"/>
  <c r="N188" i="8"/>
  <c r="Z187" i="8"/>
  <c r="H229" i="6" s="1"/>
  <c r="G194" i="6"/>
  <c r="V188" i="8"/>
  <c r="O160" i="6"/>
  <c r="S160" i="6" s="1"/>
  <c r="AR57" i="6" s="1"/>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194" i="6"/>
  <c r="S194" i="6" s="1"/>
  <c r="AX57" i="6" s="1"/>
  <c r="O93" i="6"/>
  <c r="S93" i="6" s="1"/>
  <c r="AF58" i="6" s="1"/>
  <c r="O228" i="6"/>
  <c r="S228" i="6" s="1"/>
  <c r="BD57" i="6" s="1"/>
  <c r="CD130" i="17"/>
  <c r="CB130" i="17"/>
  <c r="CJ60" i="6" s="1"/>
  <c r="G195" i="6"/>
  <c r="G229" i="6"/>
  <c r="P155" i="8"/>
  <c r="X155" i="8"/>
  <c r="AF155" i="8"/>
  <c r="H195" i="6"/>
  <c r="R121" i="8"/>
  <c r="I60" i="6"/>
  <c r="AO22" i="23" s="1"/>
  <c r="I94" i="6"/>
  <c r="O59" i="6"/>
  <c r="S59" i="6" s="1"/>
  <c r="Z58" i="6" s="1"/>
  <c r="AN16" i="23"/>
  <c r="H94" i="6"/>
  <c r="H60" i="6"/>
  <c r="AO19" i="23" s="1"/>
  <c r="S155" i="8"/>
  <c r="S119" i="18"/>
  <c r="R119" i="18"/>
  <c r="M155" i="8"/>
  <c r="G60" i="6"/>
  <c r="G94" i="6"/>
  <c r="T155" i="8"/>
  <c r="AQ130" i="16"/>
  <c r="D120" i="18"/>
  <c r="N120" i="18" s="1"/>
  <c r="Q120" i="18" s="1"/>
  <c r="AH121" i="8"/>
  <c r="AD155" i="8"/>
  <c r="CD130" i="16"/>
  <c r="CH60" i="6" s="1"/>
  <c r="CB130" i="16"/>
  <c r="CF60" i="6" s="1"/>
  <c r="BZ130" i="16"/>
  <c r="BS60" i="6" s="1"/>
  <c r="CL60" i="6"/>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G189" i="8" l="1"/>
  <c r="G127" i="6"/>
  <c r="O155" i="8"/>
  <c r="N189" i="8"/>
  <c r="I229" i="6"/>
  <c r="O189" i="8"/>
  <c r="T189" i="8"/>
  <c r="Y189" i="8"/>
  <c r="V189" i="8"/>
  <c r="AB189" i="8"/>
  <c r="AH188" i="8"/>
  <c r="I196" i="6" s="1"/>
  <c r="R188" i="8"/>
  <c r="G196" i="6" s="1"/>
  <c r="AA155" i="8"/>
  <c r="H127" i="6"/>
  <c r="O127" i="6" s="1"/>
  <c r="S127" i="6" s="1"/>
  <c r="AL58" i="6" s="1"/>
  <c r="W155" i="8"/>
  <c r="I161" i="6"/>
  <c r="O161" i="6" s="1"/>
  <c r="S161" i="6" s="1"/>
  <c r="AR58" i="6" s="1"/>
  <c r="AC189" i="8"/>
  <c r="AB155" i="8"/>
  <c r="U155" i="8"/>
  <c r="W189" i="8"/>
  <c r="Z188" i="8"/>
  <c r="H196" i="6" s="1"/>
  <c r="M189" i="8"/>
  <c r="Z154" i="8"/>
  <c r="H128" i="6" s="1"/>
  <c r="R154" i="8"/>
  <c r="G128" i="6" s="1"/>
  <c r="J189" i="8"/>
  <c r="AH154" i="8"/>
  <c r="I128" i="6" s="1"/>
  <c r="X189" i="8"/>
  <c r="AF189" i="8"/>
  <c r="P189" i="8"/>
  <c r="AA189" i="8"/>
  <c r="J155" i="8"/>
  <c r="K189" i="8"/>
  <c r="Y155" i="8"/>
  <c r="AG155" i="8"/>
  <c r="Q155" i="8"/>
  <c r="N155" i="8"/>
  <c r="R120" i="19"/>
  <c r="S120" i="19"/>
  <c r="G61" i="6"/>
  <c r="G95" i="6"/>
  <c r="O195" i="6"/>
  <c r="S195" i="6" s="1"/>
  <c r="AX58" i="6" s="1"/>
  <c r="R120" i="18"/>
  <c r="S120" i="18"/>
  <c r="O94" i="6"/>
  <c r="S94" i="6" s="1"/>
  <c r="AF59" i="6" s="1"/>
  <c r="I95" i="6"/>
  <c r="I61" i="6"/>
  <c r="AP22" i="23" s="1"/>
  <c r="H61" i="6"/>
  <c r="AP19" i="23" s="1"/>
  <c r="H95" i="6"/>
  <c r="AO16" i="23"/>
  <c r="O60" i="6"/>
  <c r="S60" i="6" s="1"/>
  <c r="Z59" i="6" s="1"/>
  <c r="O229" i="6"/>
  <c r="S229" i="6" s="1"/>
  <c r="BD58"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H230" i="6" l="1"/>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AP16" i="23"/>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I163" i="6"/>
  <c r="O230" i="6"/>
  <c r="S230" i="6" s="1"/>
  <c r="BD59" i="6" s="1"/>
  <c r="H231" i="6"/>
  <c r="O231" i="6" s="1"/>
  <c r="S231" i="6" s="1"/>
  <c r="BD60" i="6" s="1"/>
  <c r="G197" i="6"/>
  <c r="O162" i="6"/>
  <c r="S162" i="6" s="1"/>
  <c r="AR59" i="6" s="1"/>
  <c r="G129" i="6"/>
  <c r="O129" i="6" s="1"/>
  <c r="S129" i="6" s="1"/>
  <c r="AL60" i="6" s="1"/>
  <c r="O163" i="6"/>
  <c r="S163" i="6" s="1"/>
  <c r="AR60" i="6" s="1"/>
  <c r="I197" i="6"/>
  <c r="O197" i="6" s="1"/>
  <c r="S197" i="6" s="1"/>
  <c r="AX60" i="6" s="1"/>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BS10" i="6" l="1"/>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K20" i="23"/>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L20" i="23" s="1"/>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M20" i="23" s="1"/>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N20" i="23" s="1"/>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O20" i="23" s="1"/>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P20" i="23" s="1"/>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Q20" i="23" s="1"/>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R20" i="23" s="1"/>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S20" i="23" s="1"/>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T20" i="23" s="1"/>
  <c r="AR139" i="7"/>
  <c r="AT139" i="7" s="1"/>
  <c r="AV139" i="7" s="1"/>
  <c r="J76" i="6" s="1"/>
  <c r="P76" i="6" s="1"/>
  <c r="T76" i="6" s="1"/>
  <c r="AN113" i="3" l="1"/>
  <c r="AO113" i="3"/>
  <c r="AP113" i="3" s="1"/>
  <c r="BJ113" i="3" s="1"/>
  <c r="P41" i="6"/>
  <c r="T41" i="6" s="1"/>
  <c r="AA40" i="6" s="1"/>
  <c r="AG41" i="6"/>
  <c r="J42" i="6"/>
  <c r="U20" i="23" s="1"/>
  <c r="AR140" i="7"/>
  <c r="AT140" i="7" s="1"/>
  <c r="AV140" i="7" s="1"/>
  <c r="J77" i="6" s="1"/>
  <c r="P77" i="6" s="1"/>
  <c r="T77" i="6" s="1"/>
  <c r="AO114" i="3" l="1"/>
  <c r="AP114" i="3" s="1"/>
  <c r="BJ114" i="3" s="1"/>
  <c r="AN114" i="3"/>
  <c r="P42" i="6"/>
  <c r="T42" i="6" s="1"/>
  <c r="AA41" i="6" s="1"/>
  <c r="AG42" i="6"/>
  <c r="J43" i="6"/>
  <c r="V20" i="23" s="1"/>
  <c r="AR141" i="7"/>
  <c r="AT141" i="7" s="1"/>
  <c r="AV141" i="7" s="1"/>
  <c r="J78" i="6" s="1"/>
  <c r="P78" i="6" s="1"/>
  <c r="T78" i="6" s="1"/>
  <c r="AN115" i="3" l="1"/>
  <c r="AO115" i="3"/>
  <c r="AP115" i="3" s="1"/>
  <c r="BJ115" i="3" s="1"/>
  <c r="P43" i="6"/>
  <c r="T43" i="6" s="1"/>
  <c r="AA42" i="6" s="1"/>
  <c r="AG43" i="6"/>
  <c r="J44" i="6"/>
  <c r="W20" i="23" s="1"/>
  <c r="AR142" i="7"/>
  <c r="AT142" i="7" s="1"/>
  <c r="AV142" i="7" s="1"/>
  <c r="J79" i="6" s="1"/>
  <c r="P79" i="6" s="1"/>
  <c r="T79" i="6" s="1"/>
  <c r="AO116" i="3" l="1"/>
  <c r="AP116" i="3" s="1"/>
  <c r="BJ116" i="3" s="1"/>
  <c r="AN116" i="3"/>
  <c r="P44" i="6"/>
  <c r="T44" i="6" s="1"/>
  <c r="AA43" i="6" s="1"/>
  <c r="AG44" i="6"/>
  <c r="J45" i="6"/>
  <c r="X20" i="23" s="1"/>
  <c r="AR143" i="7"/>
  <c r="AT143" i="7" s="1"/>
  <c r="AV143" i="7" s="1"/>
  <c r="J80" i="6" s="1"/>
  <c r="P80" i="6" s="1"/>
  <c r="T80" i="6" s="1"/>
  <c r="AN117" i="3" l="1"/>
  <c r="AO117" i="3"/>
  <c r="AP117" i="3" s="1"/>
  <c r="BJ117" i="3" s="1"/>
  <c r="P45" i="6"/>
  <c r="T45" i="6" s="1"/>
  <c r="AA44" i="6" s="1"/>
  <c r="AG45" i="6"/>
  <c r="J46" i="6"/>
  <c r="Y20" i="23" s="1"/>
  <c r="AR144" i="7"/>
  <c r="AT144" i="7" s="1"/>
  <c r="AV144" i="7" s="1"/>
  <c r="J81" i="6" s="1"/>
  <c r="P81" i="6" s="1"/>
  <c r="T81" i="6" s="1"/>
  <c r="AN118" i="3" l="1"/>
  <c r="AO118" i="3"/>
  <c r="AP118" i="3" s="1"/>
  <c r="BJ118" i="3" s="1"/>
  <c r="P46" i="6"/>
  <c r="T46" i="6" s="1"/>
  <c r="AA45" i="6" s="1"/>
  <c r="AG46" i="6"/>
  <c r="J47" i="6"/>
  <c r="Z20" i="23" s="1"/>
  <c r="AR145" i="7"/>
  <c r="AT145" i="7" s="1"/>
  <c r="AV145" i="7" s="1"/>
  <c r="J82" i="6" s="1"/>
  <c r="P82" i="6" s="1"/>
  <c r="T82" i="6" s="1"/>
  <c r="AO119" i="3" l="1"/>
  <c r="AP119" i="3" s="1"/>
  <c r="BJ119" i="3" s="1"/>
  <c r="AN119" i="3"/>
  <c r="P47" i="6"/>
  <c r="T47" i="6" s="1"/>
  <c r="AA46" i="6" s="1"/>
  <c r="AG47" i="6"/>
  <c r="J48" i="6"/>
  <c r="AA20" i="23" s="1"/>
  <c r="AR146" i="7"/>
  <c r="AT146" i="7" s="1"/>
  <c r="AV146" i="7" s="1"/>
  <c r="J83" i="6" s="1"/>
  <c r="P83" i="6" s="1"/>
  <c r="T83" i="6" s="1"/>
  <c r="AO120" i="3" l="1"/>
  <c r="AP120" i="3" s="1"/>
  <c r="BJ120" i="3" s="1"/>
  <c r="AN120" i="3"/>
  <c r="P48" i="6"/>
  <c r="T48" i="6" s="1"/>
  <c r="AA47" i="6" s="1"/>
  <c r="AG48" i="6"/>
  <c r="J49" i="6"/>
  <c r="AB20" i="23" s="1"/>
  <c r="AR147" i="7"/>
  <c r="AT147" i="7" s="1"/>
  <c r="AV147" i="7" s="1"/>
  <c r="J84" i="6" s="1"/>
  <c r="P84" i="6" s="1"/>
  <c r="T84" i="6" s="1"/>
  <c r="P49" i="6" l="1"/>
  <c r="T49" i="6" s="1"/>
  <c r="AA48" i="6" s="1"/>
  <c r="AG49" i="6"/>
  <c r="J50" i="6"/>
  <c r="AC20" i="23" s="1"/>
  <c r="AR148" i="7"/>
  <c r="AT148" i="7" s="1"/>
  <c r="AV148" i="7" s="1"/>
  <c r="J85" i="6" s="1"/>
  <c r="P85" i="6" s="1"/>
  <c r="T85" i="6" s="1"/>
  <c r="P50" i="6" l="1"/>
  <c r="T50" i="6" s="1"/>
  <c r="AA49" i="6" s="1"/>
  <c r="AG50" i="6"/>
  <c r="J51" i="6"/>
  <c r="AD20" i="23" s="1"/>
  <c r="AR149" i="7"/>
  <c r="AT149" i="7" s="1"/>
  <c r="AV149" i="7" s="1"/>
  <c r="J86" i="6" s="1"/>
  <c r="P86" i="6" s="1"/>
  <c r="T86" i="6" s="1"/>
  <c r="P51" i="6" l="1"/>
  <c r="T51" i="6" s="1"/>
  <c r="AA50" i="6" s="1"/>
  <c r="AG51" i="6"/>
  <c r="J52" i="6"/>
  <c r="AE20" i="23" s="1"/>
  <c r="AR150" i="7"/>
  <c r="AT150" i="7" s="1"/>
  <c r="AV150" i="7" s="1"/>
  <c r="J87" i="6" s="1"/>
  <c r="P87" i="6" s="1"/>
  <c r="T87" i="6" s="1"/>
  <c r="P52" i="6" l="1"/>
  <c r="T52" i="6" s="1"/>
  <c r="AA51" i="6" s="1"/>
  <c r="AG52" i="6"/>
  <c r="J53" i="6"/>
  <c r="AF20" i="23" s="1"/>
  <c r="AR151" i="7"/>
  <c r="AT151" i="7" s="1"/>
  <c r="AV151" i="7" s="1"/>
  <c r="J88" i="6" s="1"/>
  <c r="P88" i="6" s="1"/>
  <c r="T88" i="6" s="1"/>
  <c r="P53" i="6" l="1"/>
  <c r="T53" i="6" s="1"/>
  <c r="AA52" i="6" s="1"/>
  <c r="AG53" i="6"/>
  <c r="J54" i="6"/>
  <c r="AG20" i="23" s="1"/>
  <c r="AR152" i="7"/>
  <c r="AT152" i="7" s="1"/>
  <c r="AV152" i="7" s="1"/>
  <c r="J89" i="6" s="1"/>
  <c r="P89" i="6" s="1"/>
  <c r="T89" i="6" s="1"/>
  <c r="P54" i="6" l="1"/>
  <c r="T54" i="6" s="1"/>
  <c r="AA53" i="6" s="1"/>
  <c r="AG54" i="6"/>
  <c r="J55" i="6"/>
  <c r="AH20" i="23" s="1"/>
  <c r="AR153" i="7"/>
  <c r="AT153" i="7" s="1"/>
  <c r="AV153" i="7" s="1"/>
  <c r="J90" i="6" s="1"/>
  <c r="P90" i="6" s="1"/>
  <c r="T90" i="6" s="1"/>
  <c r="P55" i="6" l="1"/>
  <c r="T55" i="6" s="1"/>
  <c r="AA54" i="6" s="1"/>
  <c r="AG55" i="6"/>
  <c r="J56" i="6"/>
  <c r="AI20" i="23" s="1"/>
  <c r="AR154" i="7"/>
  <c r="AT154" i="7" s="1"/>
  <c r="AV154" i="7" s="1"/>
  <c r="J91" i="6" s="1"/>
  <c r="P91" i="6" s="1"/>
  <c r="T91" i="6" s="1"/>
  <c r="P56" i="6" l="1"/>
  <c r="T56" i="6" s="1"/>
  <c r="AA55" i="6" s="1"/>
  <c r="AG56" i="6"/>
  <c r="J57" i="6"/>
  <c r="AJ20" i="23" s="1"/>
  <c r="AR155" i="7"/>
  <c r="AT155" i="7" s="1"/>
  <c r="AV155" i="7" s="1"/>
  <c r="J92" i="6" s="1"/>
  <c r="P92" i="6" s="1"/>
  <c r="T92" i="6" s="1"/>
  <c r="P57" i="6" l="1"/>
  <c r="T57" i="6" s="1"/>
  <c r="AA56" i="6" s="1"/>
  <c r="AG57" i="6"/>
  <c r="J58" i="6"/>
  <c r="AK20" i="23" s="1"/>
  <c r="AR156" i="7"/>
  <c r="AT156" i="7" s="1"/>
  <c r="AV156" i="7" s="1"/>
  <c r="J93" i="6" s="1"/>
  <c r="P93" i="6" s="1"/>
  <c r="T93" i="6" s="1"/>
  <c r="AR157" i="7"/>
  <c r="AT157" i="7" s="1"/>
  <c r="AV157" i="7" s="1"/>
  <c r="J94" i="6" s="1"/>
  <c r="P94" i="6" s="1"/>
  <c r="T94" i="6" s="1"/>
  <c r="P58" i="6" l="1"/>
  <c r="T58" i="6" s="1"/>
  <c r="AA57" i="6" s="1"/>
  <c r="AM20" i="23"/>
  <c r="AG59" i="6"/>
  <c r="AG58"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T110" i="6" l="1"/>
  <c r="AM41" i="6" s="1"/>
  <c r="J97" i="6"/>
  <c r="P97" i="6" s="1"/>
  <c r="T97" i="6" s="1"/>
  <c r="AM28" i="6" s="1"/>
  <c r="J131" i="6"/>
  <c r="P131" i="6" s="1"/>
  <c r="T131" i="6" s="1"/>
  <c r="AS28" i="6" s="1"/>
  <c r="J111" i="6"/>
  <c r="P111" i="6" s="1"/>
  <c r="J145" i="6"/>
  <c r="P145" i="6" s="1"/>
  <c r="T145" i="6" s="1"/>
  <c r="AS42" i="6" s="1"/>
  <c r="H175" i="7"/>
  <c r="Z175" i="7" s="1"/>
  <c r="AF175" i="7" s="1"/>
  <c r="AV175" i="7" s="1"/>
  <c r="Z162" i="7"/>
  <c r="AF162" i="7" s="1"/>
  <c r="AV162" i="7" s="1"/>
  <c r="Z161" i="7"/>
  <c r="AF161" i="7" s="1"/>
  <c r="AV161" i="7" s="1"/>
  <c r="Z163" i="7"/>
  <c r="AF163" i="7" s="1"/>
  <c r="AV163" i="7" s="1"/>
  <c r="T111" i="6" l="1"/>
  <c r="AM42" i="6" s="1"/>
  <c r="H176" i="7"/>
  <c r="J112" i="6"/>
  <c r="P112" i="6" s="1"/>
  <c r="T112" i="6" s="1"/>
  <c r="J146" i="6"/>
  <c r="P146" i="6" s="1"/>
  <c r="T146" i="6" s="1"/>
  <c r="AS43" i="6" s="1"/>
  <c r="J100" i="6"/>
  <c r="P100" i="6" s="1"/>
  <c r="J134" i="6"/>
  <c r="P134" i="6" s="1"/>
  <c r="T134" i="6" s="1"/>
  <c r="AS31" i="6" s="1"/>
  <c r="J99" i="6"/>
  <c r="P99" i="6" s="1"/>
  <c r="J133" i="6"/>
  <c r="P133" i="6" s="1"/>
  <c r="T133" i="6" s="1"/>
  <c r="AS30" i="6" s="1"/>
  <c r="J98" i="6"/>
  <c r="P98" i="6" s="1"/>
  <c r="J132" i="6"/>
  <c r="P132" i="6" s="1"/>
  <c r="T132" i="6" s="1"/>
  <c r="AS29" i="6" s="1"/>
  <c r="AM43" i="6"/>
  <c r="Z164" i="7"/>
  <c r="AF164" i="7" s="1"/>
  <c r="AV164" i="7" s="1"/>
  <c r="H177" i="7"/>
  <c r="Z176" i="7"/>
  <c r="AF176" i="7" s="1"/>
  <c r="AV176" i="7" s="1"/>
  <c r="T99" i="6" l="1"/>
  <c r="AM30" i="6" s="1"/>
  <c r="T98" i="6"/>
  <c r="AM29" i="6" s="1"/>
  <c r="T100" i="6"/>
  <c r="AM31" i="6" s="1"/>
  <c r="J113" i="6"/>
  <c r="P113" i="6" s="1"/>
  <c r="T113" i="6" s="1"/>
  <c r="AM44" i="6" s="1"/>
  <c r="J147" i="6"/>
  <c r="P147" i="6" s="1"/>
  <c r="T147" i="6" s="1"/>
  <c r="AS44" i="6" s="1"/>
  <c r="J101" i="6"/>
  <c r="P101" i="6" s="1"/>
  <c r="J135" i="6"/>
  <c r="P135" i="6" s="1"/>
  <c r="T135" i="6" s="1"/>
  <c r="AS32" i="6" s="1"/>
  <c r="Z177" i="7"/>
  <c r="AF177" i="7" s="1"/>
  <c r="AV177" i="7" s="1"/>
  <c r="H178" i="7"/>
  <c r="Z165" i="7"/>
  <c r="AF165" i="7" s="1"/>
  <c r="AV165" i="7" s="1"/>
  <c r="T101" i="6" l="1"/>
  <c r="AM32" i="6" s="1"/>
  <c r="J114" i="6"/>
  <c r="P114" i="6" s="1"/>
  <c r="T114" i="6" s="1"/>
  <c r="AM45" i="6" s="1"/>
  <c r="J148" i="6"/>
  <c r="P148" i="6" s="1"/>
  <c r="T148" i="6" s="1"/>
  <c r="AS45" i="6" s="1"/>
  <c r="J102" i="6"/>
  <c r="P102" i="6" s="1"/>
  <c r="J136" i="6"/>
  <c r="P136" i="6" s="1"/>
  <c r="T136" i="6" s="1"/>
  <c r="AS33" i="6" s="1"/>
  <c r="Z166" i="7"/>
  <c r="AF166" i="7" s="1"/>
  <c r="AV166" i="7" s="1"/>
  <c r="Z178" i="7"/>
  <c r="AF178" i="7" s="1"/>
  <c r="AV178" i="7" s="1"/>
  <c r="H179" i="7"/>
  <c r="T102" i="6" l="1"/>
  <c r="AM33" i="6" s="1"/>
  <c r="J103" i="6"/>
  <c r="P103" i="6" s="1"/>
  <c r="T103" i="6" s="1"/>
  <c r="AM34" i="6" s="1"/>
  <c r="J137" i="6"/>
  <c r="P137" i="6" s="1"/>
  <c r="T137" i="6" s="1"/>
  <c r="AS34" i="6" s="1"/>
  <c r="J115" i="6"/>
  <c r="P115" i="6" s="1"/>
  <c r="J149" i="6"/>
  <c r="P149" i="6" s="1"/>
  <c r="T149" i="6" s="1"/>
  <c r="AS46" i="6" s="1"/>
  <c r="Z179" i="7"/>
  <c r="AF179" i="7" s="1"/>
  <c r="AV179" i="7" s="1"/>
  <c r="H180" i="7"/>
  <c r="Z167" i="7"/>
  <c r="AF167" i="7" s="1"/>
  <c r="AV167" i="7" s="1"/>
  <c r="T115" i="6" l="1"/>
  <c r="AM46" i="6" s="1"/>
  <c r="J116" i="6"/>
  <c r="P116" i="6" s="1"/>
  <c r="J150" i="6"/>
  <c r="P150" i="6" s="1"/>
  <c r="T150" i="6" s="1"/>
  <c r="AS47" i="6" s="1"/>
  <c r="J104" i="6"/>
  <c r="P104" i="6" s="1"/>
  <c r="J138" i="6"/>
  <c r="P138" i="6" s="1"/>
  <c r="T138" i="6" s="1"/>
  <c r="AS35" i="6" s="1"/>
  <c r="H181" i="7"/>
  <c r="Z180" i="7"/>
  <c r="AF180" i="7" s="1"/>
  <c r="AV180" i="7" s="1"/>
  <c r="Z168" i="7"/>
  <c r="AF168" i="7" s="1"/>
  <c r="AV168" i="7" s="1"/>
  <c r="T116" i="6" l="1"/>
  <c r="AM47" i="6" s="1"/>
  <c r="T104" i="6"/>
  <c r="AM35" i="6" s="1"/>
  <c r="J117" i="6"/>
  <c r="P117" i="6" s="1"/>
  <c r="J151" i="6"/>
  <c r="P151" i="6" s="1"/>
  <c r="T151" i="6" s="1"/>
  <c r="AS48" i="6" s="1"/>
  <c r="J105" i="6"/>
  <c r="P105" i="6" s="1"/>
  <c r="J139" i="6"/>
  <c r="P139" i="6" s="1"/>
  <c r="T139" i="6" s="1"/>
  <c r="AS36" i="6" s="1"/>
  <c r="Z169" i="7"/>
  <c r="AF169" i="7" s="1"/>
  <c r="AV169" i="7" s="1"/>
  <c r="Z181" i="7"/>
  <c r="AF181" i="7" s="1"/>
  <c r="AV181" i="7" s="1"/>
  <c r="H182" i="7"/>
  <c r="T105" i="6" l="1"/>
  <c r="AM36" i="6" s="1"/>
  <c r="T117" i="6"/>
  <c r="AM48" i="6" s="1"/>
  <c r="J106" i="6"/>
  <c r="P106" i="6" s="1"/>
  <c r="J140" i="6"/>
  <c r="P140" i="6" s="1"/>
  <c r="T140" i="6" s="1"/>
  <c r="AS37" i="6" s="1"/>
  <c r="J118" i="6"/>
  <c r="P118" i="6" s="1"/>
  <c r="J152" i="6"/>
  <c r="P152" i="6" s="1"/>
  <c r="T152" i="6" s="1"/>
  <c r="AS49" i="6" s="1"/>
  <c r="H183" i="7"/>
  <c r="Z182" i="7"/>
  <c r="AF182" i="7" s="1"/>
  <c r="AV182" i="7" s="1"/>
  <c r="Z171" i="7"/>
  <c r="AF171" i="7" s="1"/>
  <c r="AV171" i="7" s="1"/>
  <c r="Z170" i="7"/>
  <c r="AF170" i="7" s="1"/>
  <c r="AV170" i="7" s="1"/>
  <c r="T118" i="6" l="1"/>
  <c r="AM49" i="6" s="1"/>
  <c r="T106" i="6"/>
  <c r="AM37" i="6" s="1"/>
  <c r="J119" i="6"/>
  <c r="P119" i="6" s="1"/>
  <c r="J153" i="6"/>
  <c r="P153" i="6" s="1"/>
  <c r="T153" i="6" s="1"/>
  <c r="AS50" i="6" s="1"/>
  <c r="J107" i="6"/>
  <c r="P107" i="6" s="1"/>
  <c r="J141" i="6"/>
  <c r="P141" i="6" s="1"/>
  <c r="T141" i="6" s="1"/>
  <c r="AS38" i="6" s="1"/>
  <c r="J108" i="6"/>
  <c r="P108" i="6" s="1"/>
  <c r="J142" i="6"/>
  <c r="P142" i="6" s="1"/>
  <c r="T142" i="6" s="1"/>
  <c r="AS39" i="6" s="1"/>
  <c r="Z183" i="7"/>
  <c r="AF183" i="7" s="1"/>
  <c r="AV183" i="7" s="1"/>
  <c r="H184" i="7"/>
  <c r="T107" i="6" l="1"/>
  <c r="AM38" i="6" s="1"/>
  <c r="T108" i="6"/>
  <c r="AM39" i="6" s="1"/>
  <c r="T119" i="6"/>
  <c r="AM50" i="6" s="1"/>
  <c r="J120" i="6"/>
  <c r="P120" i="6" s="1"/>
  <c r="J154" i="6"/>
  <c r="P154" i="6" s="1"/>
  <c r="T154" i="6" s="1"/>
  <c r="AS51" i="6" s="1"/>
  <c r="H185" i="7"/>
  <c r="Z184" i="7"/>
  <c r="AF184" i="7" s="1"/>
  <c r="AV184" i="7" s="1"/>
  <c r="T120" i="6" l="1"/>
  <c r="AM51" i="6" s="1"/>
  <c r="J121" i="6"/>
  <c r="P121" i="6" s="1"/>
  <c r="J155" i="6"/>
  <c r="P155" i="6" s="1"/>
  <c r="T155" i="6" s="1"/>
  <c r="AS52" i="6" s="1"/>
  <c r="H186" i="7"/>
  <c r="Z185" i="7"/>
  <c r="AF185" i="7" s="1"/>
  <c r="AV185" i="7" s="1"/>
  <c r="T121" i="6" l="1"/>
  <c r="AM52" i="6" s="1"/>
  <c r="J122" i="6"/>
  <c r="P122" i="6" s="1"/>
  <c r="J156" i="6"/>
  <c r="P156" i="6" s="1"/>
  <c r="T156" i="6" s="1"/>
  <c r="AS53" i="6" s="1"/>
  <c r="Z186" i="7"/>
  <c r="AF186" i="7" s="1"/>
  <c r="AV186" i="7" s="1"/>
  <c r="H187" i="7"/>
  <c r="T122" i="6" l="1"/>
  <c r="AM53" i="6" s="1"/>
  <c r="J123" i="6"/>
  <c r="P123" i="6" s="1"/>
  <c r="J157" i="6"/>
  <c r="P157" i="6" s="1"/>
  <c r="T157" i="6" s="1"/>
  <c r="AS54" i="6" s="1"/>
  <c r="Z187" i="7"/>
  <c r="AF187" i="7" s="1"/>
  <c r="AV187" i="7" s="1"/>
  <c r="H188" i="7"/>
  <c r="T123" i="6" l="1"/>
  <c r="AM54" i="6" s="1"/>
  <c r="J124" i="6"/>
  <c r="P124" i="6" s="1"/>
  <c r="J158" i="6"/>
  <c r="P158" i="6" s="1"/>
  <c r="T158" i="6" s="1"/>
  <c r="AS55" i="6" s="1"/>
  <c r="H189" i="7"/>
  <c r="Z188" i="7"/>
  <c r="AF188" i="7" s="1"/>
  <c r="AV188" i="7" s="1"/>
  <c r="T124" i="6" l="1"/>
  <c r="AM55" i="6" s="1"/>
  <c r="J125" i="6"/>
  <c r="P125" i="6" s="1"/>
  <c r="J159" i="6"/>
  <c r="P159" i="6" s="1"/>
  <c r="T159" i="6" s="1"/>
  <c r="AS56" i="6" s="1"/>
  <c r="Z189" i="7"/>
  <c r="AF189" i="7" s="1"/>
  <c r="AV189" i="7" s="1"/>
  <c r="H190" i="7"/>
  <c r="T125" i="6" l="1"/>
  <c r="AM56" i="6" s="1"/>
  <c r="J126" i="6"/>
  <c r="P126" i="6" s="1"/>
  <c r="J160" i="6"/>
  <c r="P160" i="6" s="1"/>
  <c r="T160" i="6" s="1"/>
  <c r="AS57" i="6" s="1"/>
  <c r="H191" i="7"/>
  <c r="Z190" i="7"/>
  <c r="AF190" i="7" s="1"/>
  <c r="AV190" i="7" s="1"/>
  <c r="T126" i="6" l="1"/>
  <c r="AM57" i="6" s="1"/>
  <c r="J127" i="6"/>
  <c r="P127" i="6" s="1"/>
  <c r="J161" i="6"/>
  <c r="P161" i="6" s="1"/>
  <c r="T161" i="6" s="1"/>
  <c r="AS58" i="6" s="1"/>
  <c r="Z191" i="7"/>
  <c r="AF191" i="7" s="1"/>
  <c r="AV191" i="7" s="1"/>
  <c r="H192" i="7"/>
  <c r="T127" i="6" l="1"/>
  <c r="AM58" i="6" s="1"/>
  <c r="J128" i="6"/>
  <c r="P128" i="6" s="1"/>
  <c r="J162" i="6"/>
  <c r="P162" i="6" s="1"/>
  <c r="T162" i="6" s="1"/>
  <c r="AS59" i="6" s="1"/>
  <c r="Z192" i="7"/>
  <c r="AF192" i="7" s="1"/>
  <c r="AV192" i="7" s="1"/>
  <c r="T128" i="6" l="1"/>
  <c r="AM59" i="6" s="1"/>
  <c r="J129" i="6"/>
  <c r="P129" i="6" s="1"/>
  <c r="J163" i="6"/>
  <c r="P163" i="6" s="1"/>
  <c r="T163" i="6" s="1"/>
  <c r="AS60" i="6" s="1"/>
  <c r="R260" i="1"/>
  <c r="O89" i="19" s="1"/>
  <c r="Q89" i="19" s="1"/>
  <c r="R259" i="1"/>
  <c r="O88" i="19" s="1"/>
  <c r="Q88" i="19" s="1"/>
  <c r="T129" i="6" l="1"/>
  <c r="AM60" i="6" s="1"/>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M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BP57" i="6" l="1"/>
  <c r="BP56" i="6"/>
  <c r="CG30" i="6"/>
  <c r="BP53" i="6"/>
  <c r="BP42" i="6"/>
  <c r="BP59" i="6"/>
  <c r="BP48" i="6"/>
  <c r="BP52" i="6"/>
  <c r="BP45" i="6"/>
  <c r="BP43" i="6"/>
  <c r="BP58" i="6"/>
  <c r="AH90" i="18"/>
  <c r="CI30" i="6"/>
  <c r="P151" i="9"/>
  <c r="T151" i="9" s="1"/>
  <c r="D98" i="6" s="1"/>
  <c r="M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BZ100" i="16" l="1"/>
  <c r="BS30" i="6" s="1"/>
  <c r="BZ101" i="16"/>
  <c r="BR28" i="6"/>
  <c r="CG31" i="6"/>
  <c r="BP28" i="6"/>
  <c r="AH91" i="18"/>
  <c r="CI31" i="6"/>
  <c r="AC112" i="18"/>
  <c r="S152" i="9"/>
  <c r="W152" i="9" s="1"/>
  <c r="F99" i="6" s="1"/>
  <c r="P152" i="9"/>
  <c r="T152" i="9" s="1"/>
  <c r="D99" i="6" s="1"/>
  <c r="M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BZ102" i="16" l="1"/>
  <c r="BP29" i="6"/>
  <c r="AH93" i="18"/>
  <c r="AH92" i="18"/>
  <c r="CI32" i="6"/>
  <c r="S153" i="9"/>
  <c r="W153" i="9" s="1"/>
  <c r="F100" i="6" s="1"/>
  <c r="P153" i="9"/>
  <c r="T153" i="9" s="1"/>
  <c r="D100" i="6" s="1"/>
  <c r="M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BR32" i="6" l="1"/>
  <c r="BR30" i="6"/>
  <c r="BR31" i="6"/>
  <c r="BP30" i="6"/>
  <c r="BZ103" i="16"/>
  <c r="S154" i="9"/>
  <c r="W154" i="9" s="1"/>
  <c r="P154" i="9"/>
  <c r="T154" i="9" s="1"/>
  <c r="D101" i="6" s="1"/>
  <c r="M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R100" i="6" s="1"/>
  <c r="AK31" i="6" s="1"/>
  <c r="AK91" i="18"/>
  <c r="AA90" i="18"/>
  <c r="F101" i="6"/>
  <c r="BZ104" i="16" l="1"/>
  <c r="CG34" i="6"/>
  <c r="BP31" i="6"/>
  <c r="AH94" i="18"/>
  <c r="CI34" i="6"/>
  <c r="AH95" i="18"/>
  <c r="CI35" i="6"/>
  <c r="BZ105" i="16"/>
  <c r="BS33" i="6"/>
  <c r="S155" i="9"/>
  <c r="W155" i="9" s="1"/>
  <c r="F102" i="6" s="1"/>
  <c r="P155" i="9"/>
  <c r="T155" i="9" s="1"/>
  <c r="D102" i="6" s="1"/>
  <c r="M102" i="6" s="1"/>
  <c r="Q155" i="9"/>
  <c r="U155" i="9" s="1"/>
  <c r="E102" i="6" s="1"/>
  <c r="AL92" i="18"/>
  <c r="BS32" i="6"/>
  <c r="BO33" i="6"/>
  <c r="AJ29"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BR33" i="6" l="1"/>
  <c r="BP32" i="6"/>
  <c r="Q156" i="9"/>
  <c r="U156" i="9" s="1"/>
  <c r="E103" i="6" s="1"/>
  <c r="P156" i="9"/>
  <c r="T156" i="9" s="1"/>
  <c r="D103" i="6" s="1"/>
  <c r="M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BR34" i="6" l="1"/>
  <c r="BP33" i="6"/>
  <c r="CG36" i="6"/>
  <c r="AH96" i="18"/>
  <c r="CI36" i="6"/>
  <c r="BZ106" i="16"/>
  <c r="P157" i="9"/>
  <c r="T157" i="9" s="1"/>
  <c r="D104" i="6" s="1"/>
  <c r="M104" i="6" s="1"/>
  <c r="S157" i="9"/>
  <c r="W157" i="9" s="1"/>
  <c r="F104" i="6" s="1"/>
  <c r="Q157" i="9"/>
  <c r="U157" i="9" s="1"/>
  <c r="E104" i="6" s="1"/>
  <c r="BO35"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BP34" i="6" l="1"/>
  <c r="BS36" i="6"/>
  <c r="CI37" i="6"/>
  <c r="AH97" i="18"/>
  <c r="S158" i="9"/>
  <c r="W158" i="9" s="1"/>
  <c r="F105" i="6" s="1"/>
  <c r="P158" i="9"/>
  <c r="T158" i="9" s="1"/>
  <c r="D105" i="6" s="1"/>
  <c r="M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BZ109" i="16" l="1"/>
  <c r="BZ107" i="16"/>
  <c r="BS37" i="6" s="1"/>
  <c r="BZ108" i="16"/>
  <c r="BR36" i="6"/>
  <c r="CG38" i="6"/>
  <c r="CG39" i="6"/>
  <c r="AH99" i="18"/>
  <c r="CI39" i="6"/>
  <c r="CI38" i="6"/>
  <c r="AH98" i="18"/>
  <c r="Q159" i="9"/>
  <c r="U159" i="9" s="1"/>
  <c r="E106" i="6" s="1"/>
  <c r="S159" i="9"/>
  <c r="W159" i="9" s="1"/>
  <c r="F106" i="6" s="1"/>
  <c r="P159" i="9"/>
  <c r="T159" i="9" s="1"/>
  <c r="D106" i="6" s="1"/>
  <c r="M106" i="6" s="1"/>
  <c r="N105" i="6"/>
  <c r="R105" i="6" s="1"/>
  <c r="AK36" i="6" s="1"/>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BP36" i="6" l="1"/>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N156" i="6"/>
  <c r="R156" i="6" s="1"/>
  <c r="AQ53" i="6" s="1"/>
  <c r="AT53" i="6" s="1"/>
  <c r="N163" i="6"/>
  <c r="R163" i="6" s="1"/>
  <c r="N147" i="6"/>
  <c r="R147" i="6" s="1"/>
  <c r="N149" i="6"/>
  <c r="R149" i="6" s="1"/>
  <c r="N157" i="6"/>
  <c r="R157" i="6" s="1"/>
  <c r="U157" i="6" s="1"/>
  <c r="N160" i="6"/>
  <c r="R160" i="6" s="1"/>
  <c r="N153" i="6"/>
  <c r="R153" i="6" s="1"/>
  <c r="R145" i="6"/>
  <c r="U145"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D165" i="6"/>
  <c r="M165" i="6" s="1"/>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U138" i="6" l="1"/>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BV37" i="6" l="1"/>
  <c r="N142" i="6"/>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R171" i="6" s="1"/>
  <c r="AW34" i="6" s="1"/>
  <c r="AB94" i="19"/>
  <c r="AC94" i="19"/>
  <c r="AB92" i="19"/>
  <c r="AC92" i="19"/>
  <c r="AC96" i="19"/>
  <c r="AB96" i="19"/>
  <c r="AA97" i="19"/>
  <c r="BV38" i="6" l="1"/>
  <c r="BV39" i="6"/>
  <c r="U141" i="6"/>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S114" i="9"/>
  <c r="W114" i="9" s="1"/>
  <c r="F61" i="6" s="1"/>
  <c r="AP21" i="23" s="1"/>
  <c r="Q114" i="9"/>
  <c r="U114" i="9" s="1"/>
  <c r="E61" i="6" s="1"/>
  <c r="BI60" i="6"/>
  <c r="R58" i="6"/>
  <c r="Y57" i="6" s="1"/>
  <c r="AA118" i="3"/>
  <c r="AB118" i="3" s="1"/>
  <c r="AL21" i="23"/>
  <c r="N59" i="6"/>
  <c r="R59" i="6" s="1"/>
  <c r="Y58" i="6" s="1"/>
  <c r="BJ59" i="6"/>
  <c r="F60" i="6"/>
  <c r="AO21" i="23" s="1"/>
  <c r="D60" i="6"/>
  <c r="E60" i="6"/>
  <c r="D61"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E91"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<sst xmlns="http://schemas.openxmlformats.org/spreadsheetml/2006/main" count="3598" uniqueCount="819">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</sst>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 ##0_-;\-* #\ ##0_-;_-* &quot;-&quot;??_-;_-@_-">
                  <c:v>456.56943386834331</c:v>
                </c:pt>
                <c:pt idx="11" formatCode="_-* #\ ##0_-;\-* #\ ##0_-;_-* &quot;-&quot;??_-;_-@_-">
                  <c:v>487.40346591697141</c:v>
                </c:pt>
                <c:pt idx="12" formatCode="_-* #\ ##0_-;\-* #\ ##0_-;_-* &quot;-&quot;??_-;_-@_-">
                  <c:v>538.4258210540205</c:v>
                </c:pt>
                <c:pt idx="13" formatCode="_-* #\ ##0_-;\-* #\ ##0_-;_-* &quot;-&quot;??_-;_-@_-">
                  <c:v>588.61902473493001</c:v>
                </c:pt>
                <c:pt idx="14" formatCode="_-* #\ ##0_-;\-* #\ ##0_-;_-* &quot;-&quot;??_-;_-@_-">
                  <c:v>634.907888186989</c:v>
                </c:pt>
                <c:pt idx="15" formatCode="_-* #\ ##0_-;\-* #\ ##0_-;_-* &quot;-&quot;??_-;_-@_-">
                  <c:v>677.08369940873115</c:v>
                </c:pt>
                <c:pt idx="16" formatCode="_-* #\ ##0_-;\-* #\ ##0_-;_-* &quot;-&quot;??_-;_-@_-">
                  <c:v>715.27848236533293</c:v>
                </c:pt>
                <c:pt idx="17" formatCode="_-* #\ ##0_-;\-* #\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 ##0_-;\-* #\ ##0_-;_-* &quot;-&quot;??_-;_-@_-">
                  <c:v>456.56943386834331</c:v>
                </c:pt>
                <c:pt idx="11" formatCode="_-* #\ ##0_-;\-* #\ ##0_-;_-* &quot;-&quot;??_-;_-@_-">
                  <c:v>487.40346591697141</c:v>
                </c:pt>
                <c:pt idx="12" formatCode="_-* #\ ##0_-;\-* #\ ##0_-;_-* &quot;-&quot;??_-;_-@_-">
                  <c:v>538.4258210540205</c:v>
                </c:pt>
                <c:pt idx="13" formatCode="_-* #\ ##0_-;\-* #\ ##0_-;_-* &quot;-&quot;??_-;_-@_-">
                  <c:v>588.61902473493001</c:v>
                </c:pt>
                <c:pt idx="14" formatCode="_-* #\ ##0_-;\-* #\ ##0_-;_-* &quot;-&quot;??_-;_-@_-">
                  <c:v>634.907888186989</c:v>
                </c:pt>
                <c:pt idx="15" formatCode="_-* #\ ##0_-;\-* #\ ##0_-;_-* &quot;-&quot;??_-;_-@_-">
                  <c:v>677.08369940873115</c:v>
                </c:pt>
                <c:pt idx="16" formatCode="_-* #\ ##0_-;\-* #\ ##0_-;_-* &quot;-&quot;??_-;_-@_-">
                  <c:v>715.27848236533293</c:v>
                </c:pt>
                <c:pt idx="17" formatCode="_-* #\ ##0_-;\-* #\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16828.18966496758</c:v>
                </c:pt>
                <c:pt idx="10">
                  <c:v>16413.248060107166</c:v>
                </c:pt>
                <c:pt idx="11">
                  <c:v>15992.546748442066</c:v>
                </c:pt>
                <c:pt idx="12">
                  <c:v>15559.423958514177</c:v>
                </c:pt>
                <c:pt idx="13">
                  <c:v>15123.130867003267</c:v>
                </c:pt>
                <c:pt idx="14">
                  <c:v>14684.834889876343</c:v>
                </c:pt>
                <c:pt idx="15">
                  <c:v>14248.096122932095</c:v>
                </c:pt>
                <c:pt idx="16">
                  <c:v>13817.582374803687</c:v>
                </c:pt>
                <c:pt idx="17">
                  <c:v>13389.456112735425</c:v>
                </c:pt>
                <c:pt idx="18">
                  <c:v>12965.196538289181</c:v>
                </c:pt>
                <c:pt idx="19">
                  <c:v>12552.350747453745</c:v>
                </c:pt>
                <c:pt idx="20">
                  <c:v>12151.020759738083</c:v>
                </c:pt>
                <c:pt idx="21">
                  <c:v>11761.305993742231</c:v>
                </c:pt>
                <c:pt idx="22">
                  <c:v>11380.395485236719</c:v>
                </c:pt>
                <c:pt idx="23">
                  <c:v>11007.696455543331</c:v>
                </c:pt>
                <c:pt idx="24">
                  <c:v>10642.695658328228</c:v>
                </c:pt>
                <c:pt idx="25">
                  <c:v>10284.894128595017</c:v>
                </c:pt>
                <c:pt idx="26">
                  <c:v>9933.8163368691075</c:v>
                </c:pt>
                <c:pt idx="27">
                  <c:v>9598.462414128493</c:v>
                </c:pt>
                <c:pt idx="28">
                  <c:v>9283.9385112472373</c:v>
                </c:pt>
                <c:pt idx="29">
                  <c:v>8986.9391747351056</c:v>
                </c:pt>
                <c:pt idx="30">
                  <c:v>8706.841730817745</c:v>
                </c:pt>
                <c:pt idx="31">
                  <c:v>8443.0579618592474</c:v>
                </c:pt>
                <c:pt idx="32">
                  <c:v>8186.7654357906695</c:v>
                </c:pt>
                <c:pt idx="33">
                  <c:v>7937.8075893646101</c:v>
                </c:pt>
                <c:pt idx="34">
                  <c:v>7696.0294838658183</c:v>
                </c:pt>
                <c:pt idx="35">
                  <c:v>7461.2795709704451</c:v>
                </c:pt>
                <c:pt idx="36">
                  <c:v>7233.4157689644253</c:v>
                </c:pt>
                <c:pt idx="37">
                  <c:v>7012.2557813280191</c:v>
                </c:pt>
                <c:pt idx="38">
                  <c:v>6797.6571960924593</c:v>
                </c:pt>
                <c:pt idx="39">
                  <c:v>6595.4089876209964</c:v>
                </c:pt>
                <c:pt idx="40">
                  <c:v>6405.1721696134091</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813.57691281012262</c:v>
                </c:pt>
                <c:pt idx="9">
                  <c:v>866.33557153011941</c:v>
                </c:pt>
                <c:pt idx="10">
                  <c:v>898.06787260051499</c:v>
                </c:pt>
                <c:pt idx="11">
                  <c:v>952.11755083541823</c:v>
                </c:pt>
                <c:pt idx="12">
                  <c:v>1005.1013174323582</c:v>
                </c:pt>
                <c:pt idx="13">
                  <c:v>1064.6697863919624</c:v>
                </c:pt>
                <c:pt idx="14">
                  <c:v>1124.0619816898727</c:v>
                </c:pt>
                <c:pt idx="15">
                  <c:v>1183.6586544353479</c:v>
                </c:pt>
                <c:pt idx="16">
                  <c:v>1244.1931030610308</c:v>
                </c:pt>
                <c:pt idx="17">
                  <c:v>1304.6695772379787</c:v>
                </c:pt>
                <c:pt idx="18">
                  <c:v>1310.8274038197931</c:v>
                </c:pt>
                <c:pt idx="19">
                  <c:v>1317.1889244106758</c:v>
                </c:pt>
                <c:pt idx="20">
                  <c:v>1323.7729415345395</c:v>
                </c:pt>
                <c:pt idx="21">
                  <c:v>1331.6786194018543</c:v>
                </c:pt>
                <c:pt idx="22">
                  <c:v>1339.2129474218684</c:v>
                </c:pt>
                <c:pt idx="23">
                  <c:v>1347.5808540020673</c:v>
                </c:pt>
                <c:pt idx="24">
                  <c:v>1356.5285050696123</c:v>
                </c:pt>
                <c:pt idx="25">
                  <c:v>1366.091938795339</c:v>
                </c:pt>
                <c:pt idx="26">
                  <c:v>1375.9381938182712</c:v>
                </c:pt>
                <c:pt idx="27">
                  <c:v>1386.2035884367851</c:v>
                </c:pt>
                <c:pt idx="28">
                  <c:v>1396.6256707545817</c:v>
                </c:pt>
                <c:pt idx="29">
                  <c:v>1407.4762939299167</c:v>
                </c:pt>
                <c:pt idx="30">
                  <c:v>1418.9912729502109</c:v>
                </c:pt>
                <c:pt idx="31">
                  <c:v>1430.9802322608355</c:v>
                </c:pt>
                <c:pt idx="32">
                  <c:v>1443.4807769096187</c:v>
                </c:pt>
                <c:pt idx="33">
                  <c:v>1456.4615693567036</c:v>
                </c:pt>
                <c:pt idx="34">
                  <c:v>1469.9923356282711</c:v>
                </c:pt>
                <c:pt idx="35">
                  <c:v>1484.3629479679946</c:v>
                </c:pt>
                <c:pt idx="36">
                  <c:v>1499.4441390239658</c:v>
                </c:pt>
                <c:pt idx="37">
                  <c:v>1515.2453100581411</c:v>
                </c:pt>
                <c:pt idx="38">
                  <c:v>1531.2282388234853</c:v>
                </c:pt>
                <c:pt idx="39">
                  <c:v>1547.9993067162213</c:v>
                </c:pt>
                <c:pt idx="40">
                  <c:v>1565.6211888160635</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313.0509913817462</c:v>
                </c:pt>
                <c:pt idx="9">
                  <c:v>304.92237183137161</c:v>
                </c:pt>
                <c:pt idx="10">
                  <c:v>296.95933006288686</c:v>
                </c:pt>
                <c:pt idx="11">
                  <c:v>289.30833435579075</c:v>
                </c:pt>
                <c:pt idx="12">
                  <c:v>281.88439794717414</c:v>
                </c:pt>
                <c:pt idx="13">
                  <c:v>274.6787686212752</c:v>
                </c:pt>
                <c:pt idx="14">
                  <c:v>267.68476363481818</c:v>
                </c:pt>
                <c:pt idx="15">
                  <c:v>260.89542288105361</c:v>
                </c:pt>
                <c:pt idx="16">
                  <c:v>254.42145582868937</c:v>
                </c:pt>
                <c:pt idx="17">
                  <c:v>248.16157753367071</c:v>
                </c:pt>
                <c:pt idx="18">
                  <c:v>234.55400361500853</c:v>
                </c:pt>
                <c:pt idx="19">
                  <c:v>221.70044171093895</c:v>
                </c:pt>
                <c:pt idx="20">
                  <c:v>209.55963478666706</c:v>
                </c:pt>
                <c:pt idx="21">
                  <c:v>199.12505940518434</c:v>
                </c:pt>
                <c:pt idx="22">
                  <c:v>188.74787757514079</c:v>
                </c:pt>
                <c:pt idx="23">
                  <c:v>178.4277894102205</c:v>
                </c:pt>
                <c:pt idx="24">
                  <c:v>168.16212217511551</c:v>
                </c:pt>
                <c:pt idx="25">
                  <c:v>157.95132706299165</c:v>
                </c:pt>
                <c:pt idx="26">
                  <c:v>147.84401791223806</c:v>
                </c:pt>
                <c:pt idx="27">
                  <c:v>144.25687519270741</c:v>
                </c:pt>
                <c:pt idx="28">
                  <c:v>137.79101096898893</c:v>
                </c:pt>
                <c:pt idx="29">
                  <c:v>131.35398369475783</c:v>
                </c:pt>
                <c:pt idx="30">
                  <c:v>124.94525751499094</c:v>
                </c:pt>
                <c:pt idx="31">
                  <c:v>118.59892671408207</c:v>
                </c:pt>
                <c:pt idx="32">
                  <c:v>112.27558127611516</c:v>
                </c:pt>
                <c:pt idx="33">
                  <c:v>105.97445090115522</c:v>
                </c:pt>
                <c:pt idx="34">
                  <c:v>99.695611201966173</c:v>
                </c:pt>
                <c:pt idx="35">
                  <c:v>93.438023878041264</c:v>
                </c:pt>
                <c:pt idx="36">
                  <c:v>87.227445785625591</c:v>
                </c:pt>
                <c:pt idx="37">
                  <c:v>81.033693361122204</c:v>
                </c:pt>
                <c:pt idx="38">
                  <c:v>80.926392377558713</c:v>
                </c:pt>
                <c:pt idx="39">
                  <c:v>80.820179286667425</c:v>
                </c:pt>
                <c:pt idx="40">
                  <c:v>80.714491749200192</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3728.7332085559019</c:v>
                </c:pt>
                <c:pt idx="9">
                  <c:v>3821.6720946853429</c:v>
                </c:pt>
                <c:pt idx="10">
                  <c:v>3916.6402461682742</c:v>
                </c:pt>
                <c:pt idx="11">
                  <c:v>3995.2820715317216</c:v>
                </c:pt>
                <c:pt idx="12">
                  <c:v>4075.1576379006751</c:v>
                </c:pt>
                <c:pt idx="13">
                  <c:v>4156.4141151158683</c:v>
                </c:pt>
                <c:pt idx="14">
                  <c:v>4238.9983232351897</c:v>
                </c:pt>
                <c:pt idx="15">
                  <c:v>4322.9236792306456</c:v>
                </c:pt>
                <c:pt idx="16">
                  <c:v>4400.9174278296796</c:v>
                </c:pt>
                <c:pt idx="17">
                  <c:v>4480.0918085867052</c:v>
                </c:pt>
                <c:pt idx="18">
                  <c:v>4560.3175409569985</c:v>
                </c:pt>
                <c:pt idx="19">
                  <c:v>4641.7451490242902</c:v>
                </c:pt>
                <c:pt idx="20">
                  <c:v>4724.3147443604685</c:v>
                </c:pt>
                <c:pt idx="21">
                  <c:v>4801.8282802505955</c:v>
                </c:pt>
                <c:pt idx="22">
                  <c:v>4880.3350275419698</c:v>
                </c:pt>
                <c:pt idx="23">
                  <c:v>4959.7700664419835</c:v>
                </c:pt>
                <c:pt idx="24">
                  <c:v>5040.2878343178654</c:v>
                </c:pt>
                <c:pt idx="25">
                  <c:v>5121.7495469363903</c:v>
                </c:pt>
                <c:pt idx="26">
                  <c:v>5198.0133460110155</c:v>
                </c:pt>
                <c:pt idx="27">
                  <c:v>5275.0672825961447</c:v>
                </c:pt>
                <c:pt idx="28">
                  <c:v>5353.0685892615111</c:v>
                </c:pt>
                <c:pt idx="29">
                  <c:v>5431.872332328383</c:v>
                </c:pt>
                <c:pt idx="30">
                  <c:v>5511.4835431612637</c:v>
                </c:pt>
                <c:pt idx="31">
                  <c:v>5585.9183683676356</c:v>
                </c:pt>
                <c:pt idx="32">
                  <c:v>5661.0062950673746</c:v>
                </c:pt>
                <c:pt idx="33">
                  <c:v>5736.8295733086024</c:v>
                </c:pt>
                <c:pt idx="34">
                  <c:v>5813.3137796102064</c:v>
                </c:pt>
                <c:pt idx="35">
                  <c:v>5890.622295987414</c:v>
                </c:pt>
                <c:pt idx="36">
                  <c:v>5961.9937050903318</c:v>
                </c:pt>
                <c:pt idx="37">
                  <c:v>6034.0277904697159</c:v>
                </c:pt>
                <c:pt idx="38">
                  <c:v>6106.6478924824532</c:v>
                </c:pt>
                <c:pt idx="39">
                  <c:v>6179.775115323424</c:v>
                </c:pt>
                <c:pt idx="40">
                  <c:v>6253.5767542913654</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16828.18966496758</c:v>
                </c:pt>
                <c:pt idx="10">
                  <c:v>16413.248060107166</c:v>
                </c:pt>
                <c:pt idx="11">
                  <c:v>15992.546748442066</c:v>
                </c:pt>
                <c:pt idx="12">
                  <c:v>15559.423958514177</c:v>
                </c:pt>
                <c:pt idx="13">
                  <c:v>15123.130867003267</c:v>
                </c:pt>
                <c:pt idx="14">
                  <c:v>14684.834889876343</c:v>
                </c:pt>
                <c:pt idx="15">
                  <c:v>14248.096122932095</c:v>
                </c:pt>
                <c:pt idx="16">
                  <c:v>13817.582374803687</c:v>
                </c:pt>
                <c:pt idx="17">
                  <c:v>13389.456112735425</c:v>
                </c:pt>
                <c:pt idx="18">
                  <c:v>12965.196538289181</c:v>
                </c:pt>
                <c:pt idx="19">
                  <c:v>12552.350747453745</c:v>
                </c:pt>
                <c:pt idx="20">
                  <c:v>12151.020759738083</c:v>
                </c:pt>
                <c:pt idx="21">
                  <c:v>11761.305993742231</c:v>
                </c:pt>
                <c:pt idx="22">
                  <c:v>11380.395485236719</c:v>
                </c:pt>
                <c:pt idx="23">
                  <c:v>11007.696455543331</c:v>
                </c:pt>
                <c:pt idx="24">
                  <c:v>10642.695658328228</c:v>
                </c:pt>
                <c:pt idx="25">
                  <c:v>10284.894128595017</c:v>
                </c:pt>
                <c:pt idx="26">
                  <c:v>9933.8163368691075</c:v>
                </c:pt>
                <c:pt idx="27">
                  <c:v>9598.462414128493</c:v>
                </c:pt>
                <c:pt idx="28">
                  <c:v>9283.9385112472373</c:v>
                </c:pt>
                <c:pt idx="29">
                  <c:v>8986.9391747351056</c:v>
                </c:pt>
                <c:pt idx="30">
                  <c:v>8706.841730817745</c:v>
                </c:pt>
                <c:pt idx="31">
                  <c:v>8443.0579618592474</c:v>
                </c:pt>
                <c:pt idx="32">
                  <c:v>8186.7654357906695</c:v>
                </c:pt>
                <c:pt idx="33">
                  <c:v>7937.8075893646101</c:v>
                </c:pt>
                <c:pt idx="34">
                  <c:v>7696.0294838658183</c:v>
                </c:pt>
                <c:pt idx="35">
                  <c:v>7461.2795709704451</c:v>
                </c:pt>
                <c:pt idx="36">
                  <c:v>7233.4157689644253</c:v>
                </c:pt>
                <c:pt idx="37">
                  <c:v>7012.2557813280191</c:v>
                </c:pt>
                <c:pt idx="38">
                  <c:v>6797.6571960924593</c:v>
                </c:pt>
                <c:pt idx="39">
                  <c:v>6595.4089876209964</c:v>
                </c:pt>
                <c:pt idx="40">
                  <c:v>6405.1721696134091</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813.57691281012262</c:v>
                </c:pt>
                <c:pt idx="9">
                  <c:v>866.33557153011941</c:v>
                </c:pt>
                <c:pt idx="10">
                  <c:v>898.06787260051499</c:v>
                </c:pt>
                <c:pt idx="11">
                  <c:v>952.11755083541823</c:v>
                </c:pt>
                <c:pt idx="12">
                  <c:v>1005.1013174323582</c:v>
                </c:pt>
                <c:pt idx="13">
                  <c:v>1064.6697863919624</c:v>
                </c:pt>
                <c:pt idx="14">
                  <c:v>1124.0619816898727</c:v>
                </c:pt>
                <c:pt idx="15">
                  <c:v>1183.6586544353479</c:v>
                </c:pt>
                <c:pt idx="16">
                  <c:v>1244.1931030610308</c:v>
                </c:pt>
                <c:pt idx="17">
                  <c:v>1304.6695772379787</c:v>
                </c:pt>
                <c:pt idx="18">
                  <c:v>1310.8274038197931</c:v>
                </c:pt>
                <c:pt idx="19">
                  <c:v>1317.1889244106758</c:v>
                </c:pt>
                <c:pt idx="20">
                  <c:v>1323.7729415345395</c:v>
                </c:pt>
                <c:pt idx="21">
                  <c:v>1331.6786194018543</c:v>
                </c:pt>
                <c:pt idx="22">
                  <c:v>1339.2129474218684</c:v>
                </c:pt>
                <c:pt idx="23">
                  <c:v>1347.5808540020673</c:v>
                </c:pt>
                <c:pt idx="24">
                  <c:v>1356.5285050696123</c:v>
                </c:pt>
                <c:pt idx="25">
                  <c:v>1366.091938795339</c:v>
                </c:pt>
                <c:pt idx="26">
                  <c:v>1375.9381938182712</c:v>
                </c:pt>
                <c:pt idx="27">
                  <c:v>1386.2035884367851</c:v>
                </c:pt>
                <c:pt idx="28">
                  <c:v>1396.6256707545817</c:v>
                </c:pt>
                <c:pt idx="29">
                  <c:v>1407.4762939299167</c:v>
                </c:pt>
                <c:pt idx="30">
                  <c:v>1418.9912729502109</c:v>
                </c:pt>
                <c:pt idx="31">
                  <c:v>1430.9802322608355</c:v>
                </c:pt>
                <c:pt idx="32">
                  <c:v>1443.4807769096187</c:v>
                </c:pt>
                <c:pt idx="33">
                  <c:v>1456.4615693567036</c:v>
                </c:pt>
                <c:pt idx="34">
                  <c:v>1469.9923356282711</c:v>
                </c:pt>
                <c:pt idx="35">
                  <c:v>1484.3629479679946</c:v>
                </c:pt>
                <c:pt idx="36">
                  <c:v>1499.4441390239658</c:v>
                </c:pt>
                <c:pt idx="37">
                  <c:v>1515.2453100581411</c:v>
                </c:pt>
                <c:pt idx="38">
                  <c:v>1531.2282388234853</c:v>
                </c:pt>
                <c:pt idx="39">
                  <c:v>1547.9993067162213</c:v>
                </c:pt>
                <c:pt idx="40">
                  <c:v>1565.6211888160635</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313.0509913817462</c:v>
                </c:pt>
                <c:pt idx="9">
                  <c:v>304.92237183137161</c:v>
                </c:pt>
                <c:pt idx="10">
                  <c:v>296.95933006288686</c:v>
                </c:pt>
                <c:pt idx="11">
                  <c:v>289.30833435579075</c:v>
                </c:pt>
                <c:pt idx="12">
                  <c:v>281.88439794717414</c:v>
                </c:pt>
                <c:pt idx="13">
                  <c:v>274.6787686212752</c:v>
                </c:pt>
                <c:pt idx="14">
                  <c:v>267.68476363481818</c:v>
                </c:pt>
                <c:pt idx="15">
                  <c:v>260.89542288105361</c:v>
                </c:pt>
                <c:pt idx="16">
                  <c:v>254.42145582868937</c:v>
                </c:pt>
                <c:pt idx="17">
                  <c:v>248.16157753367071</c:v>
                </c:pt>
                <c:pt idx="18">
                  <c:v>234.55400361500853</c:v>
                </c:pt>
                <c:pt idx="19">
                  <c:v>221.70044171093895</c:v>
                </c:pt>
                <c:pt idx="20">
                  <c:v>209.55963478666706</c:v>
                </c:pt>
                <c:pt idx="21">
                  <c:v>199.12505940518434</c:v>
                </c:pt>
                <c:pt idx="22">
                  <c:v>188.74787757514079</c:v>
                </c:pt>
                <c:pt idx="23">
                  <c:v>178.4277894102205</c:v>
                </c:pt>
                <c:pt idx="24">
                  <c:v>168.16212217511551</c:v>
                </c:pt>
                <c:pt idx="25">
                  <c:v>157.95132706299165</c:v>
                </c:pt>
                <c:pt idx="26">
                  <c:v>147.84401791223806</c:v>
                </c:pt>
                <c:pt idx="27">
                  <c:v>144.25687519270741</c:v>
                </c:pt>
                <c:pt idx="28">
                  <c:v>137.79101096898893</c:v>
                </c:pt>
                <c:pt idx="29">
                  <c:v>131.35398369475783</c:v>
                </c:pt>
                <c:pt idx="30">
                  <c:v>124.94525751499094</c:v>
                </c:pt>
                <c:pt idx="31">
                  <c:v>118.59892671408207</c:v>
                </c:pt>
                <c:pt idx="32">
                  <c:v>112.27558127611516</c:v>
                </c:pt>
                <c:pt idx="33">
                  <c:v>105.97445090115522</c:v>
                </c:pt>
                <c:pt idx="34">
                  <c:v>99.695611201966173</c:v>
                </c:pt>
                <c:pt idx="35">
                  <c:v>93.438023878041264</c:v>
                </c:pt>
                <c:pt idx="36">
                  <c:v>87.227445785625591</c:v>
                </c:pt>
                <c:pt idx="37">
                  <c:v>81.033693361122204</c:v>
                </c:pt>
                <c:pt idx="38">
                  <c:v>80.926392377558713</c:v>
                </c:pt>
                <c:pt idx="39">
                  <c:v>80.820179286667425</c:v>
                </c:pt>
                <c:pt idx="40">
                  <c:v>80.714491749200192</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3728.7332085559019</c:v>
                </c:pt>
                <c:pt idx="9">
                  <c:v>3821.6720946853429</c:v>
                </c:pt>
                <c:pt idx="10">
                  <c:v>3916.6402461682742</c:v>
                </c:pt>
                <c:pt idx="11">
                  <c:v>3995.2820715317216</c:v>
                </c:pt>
                <c:pt idx="12">
                  <c:v>4075.1576379006751</c:v>
                </c:pt>
                <c:pt idx="13">
                  <c:v>4156.4141151158683</c:v>
                </c:pt>
                <c:pt idx="14">
                  <c:v>4238.9983232351897</c:v>
                </c:pt>
                <c:pt idx="15">
                  <c:v>4322.9236792306456</c:v>
                </c:pt>
                <c:pt idx="16">
                  <c:v>4400.9174278296796</c:v>
                </c:pt>
                <c:pt idx="17">
                  <c:v>4480.0918085867052</c:v>
                </c:pt>
                <c:pt idx="18">
                  <c:v>4560.3175409569985</c:v>
                </c:pt>
                <c:pt idx="19">
                  <c:v>4641.7451490242902</c:v>
                </c:pt>
                <c:pt idx="20">
                  <c:v>4724.3147443604685</c:v>
                </c:pt>
                <c:pt idx="21">
                  <c:v>4801.8282802505955</c:v>
                </c:pt>
                <c:pt idx="22">
                  <c:v>4880.3350275419698</c:v>
                </c:pt>
                <c:pt idx="23">
                  <c:v>4959.7700664419835</c:v>
                </c:pt>
                <c:pt idx="24">
                  <c:v>5040.2878343178654</c:v>
                </c:pt>
                <c:pt idx="25">
                  <c:v>5121.7495469363903</c:v>
                </c:pt>
                <c:pt idx="26">
                  <c:v>5198.0133460110155</c:v>
                </c:pt>
                <c:pt idx="27">
                  <c:v>5275.0672825961447</c:v>
                </c:pt>
                <c:pt idx="28">
                  <c:v>5353.0685892615111</c:v>
                </c:pt>
                <c:pt idx="29">
                  <c:v>5431.872332328383</c:v>
                </c:pt>
                <c:pt idx="30">
                  <c:v>5511.4835431612637</c:v>
                </c:pt>
                <c:pt idx="31">
                  <c:v>5585.9183683676356</c:v>
                </c:pt>
                <c:pt idx="32">
                  <c:v>5661.0062950673746</c:v>
                </c:pt>
                <c:pt idx="33">
                  <c:v>5736.8295733086024</c:v>
                </c:pt>
                <c:pt idx="34">
                  <c:v>5813.3137796102064</c:v>
                </c:pt>
                <c:pt idx="35">
                  <c:v>5890.622295987414</c:v>
                </c:pt>
                <c:pt idx="36">
                  <c:v>5961.9937050903318</c:v>
                </c:pt>
                <c:pt idx="37">
                  <c:v>6034.0277904697159</c:v>
                </c:pt>
                <c:pt idx="38">
                  <c:v>6106.6478924824532</c:v>
                </c:pt>
                <c:pt idx="39">
                  <c:v>6179.775115323424</c:v>
                </c:pt>
                <c:pt idx="40">
                  <c:v>6253.5767542913654</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16834.054423063324</c:v>
                </c:pt>
                <c:pt idx="10">
                  <c:v>16434.916140695343</c:v>
                </c:pt>
                <c:pt idx="11">
                  <c:v>16003.363880890864</c:v>
                </c:pt>
                <c:pt idx="12">
                  <c:v>15469.033694288073</c:v>
                </c:pt>
                <c:pt idx="13">
                  <c:v>14887.921775471967</c:v>
                </c:pt>
                <c:pt idx="14">
                  <c:v>14330.496399341338</c:v>
                </c:pt>
                <c:pt idx="15">
                  <c:v>13795.054725625248</c:v>
                </c:pt>
                <c:pt idx="16">
                  <c:v>13279.96694030387</c:v>
                </c:pt>
                <c:pt idx="17">
                  <c:v>12783.59253156854</c:v>
                </c:pt>
                <c:pt idx="18">
                  <c:v>12304.4478094694</c:v>
                </c:pt>
                <c:pt idx="19">
                  <c:v>11841.109373039406</c:v>
                </c:pt>
                <c:pt idx="20">
                  <c:v>11392.213690395743</c:v>
                </c:pt>
                <c:pt idx="21">
                  <c:v>10956.451633212508</c:v>
                </c:pt>
                <c:pt idx="22">
                  <c:v>10529.938400101773</c:v>
                </c:pt>
                <c:pt idx="23">
                  <c:v>10112.174628318167</c:v>
                </c:pt>
                <c:pt idx="24">
                  <c:v>9715.0282788002914</c:v>
                </c:pt>
                <c:pt idx="25">
                  <c:v>9337.4946864410322</c:v>
                </c:pt>
                <c:pt idx="26">
                  <c:v>8978.6171195275365</c:v>
                </c:pt>
                <c:pt idx="27">
                  <c:v>8637.4457617299122</c:v>
                </c:pt>
                <c:pt idx="28">
                  <c:v>8313.117358942769</c:v>
                </c:pt>
                <c:pt idx="29">
                  <c:v>8004.8116515364236</c:v>
                </c:pt>
                <c:pt idx="30">
                  <c:v>7711.7473592699926</c:v>
                </c:pt>
                <c:pt idx="31">
                  <c:v>7438.4984942618039</c:v>
                </c:pt>
                <c:pt idx="32">
                  <c:v>7182.5151804852858</c:v>
                </c:pt>
                <c:pt idx="33">
                  <c:v>6943.0513660528304</c:v>
                </c:pt>
                <c:pt idx="34">
                  <c:v>6719.3937156329284</c:v>
                </c:pt>
                <c:pt idx="35">
                  <c:v>6510.8603995237809</c:v>
                </c:pt>
                <c:pt idx="36">
                  <c:v>6316.805781404646</c:v>
                </c:pt>
                <c:pt idx="37">
                  <c:v>6136.5730929471565</c:v>
                </c:pt>
                <c:pt idx="38">
                  <c:v>5969.5716942758108</c:v>
                </c:pt>
                <c:pt idx="39">
                  <c:v>5815.2225508868096</c:v>
                </c:pt>
                <c:pt idx="40">
                  <c:v>5672.9840626952437</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813.57691281012262</c:v>
                </c:pt>
                <c:pt idx="9">
                  <c:v>866.33557153011941</c:v>
                </c:pt>
                <c:pt idx="10">
                  <c:v>953.52764192926736</c:v>
                </c:pt>
                <c:pt idx="11">
                  <c:v>1172.2384604006079</c:v>
                </c:pt>
                <c:pt idx="12">
                  <c:v>1278.1047447015701</c:v>
                </c:pt>
                <c:pt idx="13">
                  <c:v>1283.0725282073315</c:v>
                </c:pt>
                <c:pt idx="14">
                  <c:v>1287.8640380514005</c:v>
                </c:pt>
                <c:pt idx="15">
                  <c:v>1292.8600253430329</c:v>
                </c:pt>
                <c:pt idx="16">
                  <c:v>1298.7937885148731</c:v>
                </c:pt>
                <c:pt idx="17">
                  <c:v>1304.6695772379787</c:v>
                </c:pt>
                <c:pt idx="18">
                  <c:v>1310.8274038197931</c:v>
                </c:pt>
                <c:pt idx="19">
                  <c:v>1317.1889244106758</c:v>
                </c:pt>
                <c:pt idx="20">
                  <c:v>1323.7729415345395</c:v>
                </c:pt>
                <c:pt idx="21">
                  <c:v>1331.6786194018543</c:v>
                </c:pt>
                <c:pt idx="22">
                  <c:v>1339.2129474218684</c:v>
                </c:pt>
                <c:pt idx="23">
                  <c:v>1347.5808540020673</c:v>
                </c:pt>
                <c:pt idx="24">
                  <c:v>1356.5285050696123</c:v>
                </c:pt>
                <c:pt idx="25">
                  <c:v>1366.091938795339</c:v>
                </c:pt>
                <c:pt idx="26">
                  <c:v>1375.9381938182712</c:v>
                </c:pt>
                <c:pt idx="27">
                  <c:v>1386.2035884367851</c:v>
                </c:pt>
                <c:pt idx="28">
                  <c:v>1396.6256707545817</c:v>
                </c:pt>
                <c:pt idx="29">
                  <c:v>1407.4762939299167</c:v>
                </c:pt>
                <c:pt idx="30">
                  <c:v>1418.9912729502109</c:v>
                </c:pt>
                <c:pt idx="31">
                  <c:v>1430.9802322608355</c:v>
                </c:pt>
                <c:pt idx="32">
                  <c:v>1443.4807769096187</c:v>
                </c:pt>
                <c:pt idx="33">
                  <c:v>1456.4615693567036</c:v>
                </c:pt>
                <c:pt idx="34">
                  <c:v>1469.9923356282711</c:v>
                </c:pt>
                <c:pt idx="35">
                  <c:v>1484.3629479679946</c:v>
                </c:pt>
                <c:pt idx="36">
                  <c:v>1499.4441390239658</c:v>
                </c:pt>
                <c:pt idx="37">
                  <c:v>1515.2453100581411</c:v>
                </c:pt>
                <c:pt idx="38">
                  <c:v>1531.2282388234853</c:v>
                </c:pt>
                <c:pt idx="39">
                  <c:v>1547.9993067162213</c:v>
                </c:pt>
                <c:pt idx="40">
                  <c:v>1565.6211888160635</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313.3036342128031</c:v>
                </c:pt>
                <c:pt idx="9">
                  <c:v>307.81416965744336</c:v>
                </c:pt>
                <c:pt idx="10">
                  <c:v>299.52422241648264</c:v>
                </c:pt>
                <c:pt idx="11">
                  <c:v>275.36418621646493</c:v>
                </c:pt>
                <c:pt idx="12">
                  <c:v>229.17427654345988</c:v>
                </c:pt>
                <c:pt idx="13">
                  <c:v>217.34034483127238</c:v>
                </c:pt>
                <c:pt idx="14">
                  <c:v>205.30382412838176</c:v>
                </c:pt>
                <c:pt idx="15">
                  <c:v>193.05742094087532</c:v>
                </c:pt>
                <c:pt idx="16">
                  <c:v>180.70066404629662</c:v>
                </c:pt>
                <c:pt idx="17">
                  <c:v>168.10206065180188</c:v>
                </c:pt>
                <c:pt idx="18">
                  <c:v>155.25490802141766</c:v>
                </c:pt>
                <c:pt idx="19">
                  <c:v>142.14832378244085</c:v>
                </c:pt>
                <c:pt idx="20">
                  <c:v>128.77373973832519</c:v>
                </c:pt>
                <c:pt idx="21">
                  <c:v>113.56964000947163</c:v>
                </c:pt>
                <c:pt idx="22">
                  <c:v>98.459932743278046</c:v>
                </c:pt>
                <c:pt idx="23">
                  <c:v>98.168343633768458</c:v>
                </c:pt>
                <c:pt idx="24">
                  <c:v>97.880366762577253</c:v>
                </c:pt>
                <c:pt idx="25">
                  <c:v>97.596943999394412</c:v>
                </c:pt>
                <c:pt idx="26">
                  <c:v>97.356643396747316</c:v>
                </c:pt>
                <c:pt idx="27">
                  <c:v>97.11957745586389</c:v>
                </c:pt>
                <c:pt idx="28">
                  <c:v>96.884785188148896</c:v>
                </c:pt>
                <c:pt idx="29">
                  <c:v>96.65315796334211</c:v>
                </c:pt>
                <c:pt idx="30">
                  <c:v>96.424643765802159</c:v>
                </c:pt>
                <c:pt idx="31">
                  <c:v>96.232239653351655</c:v>
                </c:pt>
                <c:pt idx="32">
                  <c:v>96.042106440541971</c:v>
                </c:pt>
                <c:pt idx="33">
                  <c:v>95.85379378833197</c:v>
                </c:pt>
                <c:pt idx="34">
                  <c:v>95.667697386784226</c:v>
                </c:pt>
                <c:pt idx="35">
                  <c:v>95.482978329401334</c:v>
                </c:pt>
                <c:pt idx="36">
                  <c:v>95.3329717226393</c:v>
                </c:pt>
                <c:pt idx="37">
                  <c:v>95.183765012554304</c:v>
                </c:pt>
                <c:pt idx="38">
                  <c:v>95.035752719436886</c:v>
                </c:pt>
                <c:pt idx="39">
                  <c:v>94.889308458078077</c:v>
                </c:pt>
                <c:pt idx="40">
                  <c:v>94.743655311642982</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16834.054423063324</c:v>
                </c:pt>
                <c:pt idx="10">
                  <c:v>16434.916140695343</c:v>
                </c:pt>
                <c:pt idx="11">
                  <c:v>16003.363880890864</c:v>
                </c:pt>
                <c:pt idx="12">
                  <c:v>15469.033694288073</c:v>
                </c:pt>
                <c:pt idx="13">
                  <c:v>14887.921775471967</c:v>
                </c:pt>
                <c:pt idx="14">
                  <c:v>14330.496399341338</c:v>
                </c:pt>
                <c:pt idx="15">
                  <c:v>13795.054725625248</c:v>
                </c:pt>
                <c:pt idx="16">
                  <c:v>13279.96694030387</c:v>
                </c:pt>
                <c:pt idx="17">
                  <c:v>12783.59253156854</c:v>
                </c:pt>
                <c:pt idx="18">
                  <c:v>12304.4478094694</c:v>
                </c:pt>
                <c:pt idx="19">
                  <c:v>11841.109373039406</c:v>
                </c:pt>
                <c:pt idx="20">
                  <c:v>11392.213690395743</c:v>
                </c:pt>
                <c:pt idx="21">
                  <c:v>10956.451633212508</c:v>
                </c:pt>
                <c:pt idx="22">
                  <c:v>10529.938400101773</c:v>
                </c:pt>
                <c:pt idx="23">
                  <c:v>10112.174628318167</c:v>
                </c:pt>
                <c:pt idx="24">
                  <c:v>9715.0282788002914</c:v>
                </c:pt>
                <c:pt idx="25">
                  <c:v>9337.4946864410322</c:v>
                </c:pt>
                <c:pt idx="26">
                  <c:v>8978.6171195275365</c:v>
                </c:pt>
                <c:pt idx="27">
                  <c:v>8637.4457617299122</c:v>
                </c:pt>
                <c:pt idx="28">
                  <c:v>8313.117358942769</c:v>
                </c:pt>
                <c:pt idx="29">
                  <c:v>8004.8116515364236</c:v>
                </c:pt>
                <c:pt idx="30">
                  <c:v>7711.7473592699926</c:v>
                </c:pt>
                <c:pt idx="31">
                  <c:v>7438.4984942618039</c:v>
                </c:pt>
                <c:pt idx="32">
                  <c:v>7182.5151804852858</c:v>
                </c:pt>
                <c:pt idx="33">
                  <c:v>6943.0513660528304</c:v>
                </c:pt>
                <c:pt idx="34">
                  <c:v>6719.3937156329284</c:v>
                </c:pt>
                <c:pt idx="35">
                  <c:v>6510.8603995237809</c:v>
                </c:pt>
                <c:pt idx="36">
                  <c:v>6316.805781404646</c:v>
                </c:pt>
                <c:pt idx="37">
                  <c:v>6136.5730929471565</c:v>
                </c:pt>
                <c:pt idx="38">
                  <c:v>5969.5716942758108</c:v>
                </c:pt>
                <c:pt idx="39">
                  <c:v>5815.2225508868096</c:v>
                </c:pt>
                <c:pt idx="40">
                  <c:v>5672.9840626952437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813.57691281012262</c:v>
                </c:pt>
                <c:pt idx="9">
                  <c:v>866.33557153011941</c:v>
                </c:pt>
                <c:pt idx="10">
                  <c:v>953.52764192926736</c:v>
                </c:pt>
                <c:pt idx="11">
                  <c:v>1172.2384604006079</c:v>
                </c:pt>
                <c:pt idx="12">
                  <c:v>1278.1047447015701</c:v>
                </c:pt>
                <c:pt idx="13">
                  <c:v>1283.0725282073315</c:v>
                </c:pt>
                <c:pt idx="14">
                  <c:v>1287.8640380514005</c:v>
                </c:pt>
                <c:pt idx="15">
                  <c:v>1292.8600253430329</c:v>
                </c:pt>
                <c:pt idx="16">
                  <c:v>1298.7937885148731</c:v>
                </c:pt>
                <c:pt idx="17">
                  <c:v>1304.6695772379787</c:v>
                </c:pt>
                <c:pt idx="18">
                  <c:v>1310.8274038197931</c:v>
                </c:pt>
                <c:pt idx="19">
                  <c:v>1317.1889244106758</c:v>
                </c:pt>
                <c:pt idx="20">
                  <c:v>1323.7729415345395</c:v>
                </c:pt>
                <c:pt idx="21">
                  <c:v>1331.6786194018543</c:v>
                </c:pt>
                <c:pt idx="22">
                  <c:v>1339.2129474218684</c:v>
                </c:pt>
                <c:pt idx="23">
                  <c:v>1347.5808540020673</c:v>
                </c:pt>
                <c:pt idx="24">
                  <c:v>1356.5285050696123</c:v>
                </c:pt>
                <c:pt idx="25">
                  <c:v>1366.091938795339</c:v>
                </c:pt>
                <c:pt idx="26">
                  <c:v>1375.9381938182712</c:v>
                </c:pt>
                <c:pt idx="27">
                  <c:v>1386.2035884367851</c:v>
                </c:pt>
                <c:pt idx="28">
                  <c:v>1396.6256707545817</c:v>
                </c:pt>
                <c:pt idx="29">
                  <c:v>1407.4762939299167</c:v>
                </c:pt>
                <c:pt idx="30">
                  <c:v>1418.9912729502109</c:v>
                </c:pt>
                <c:pt idx="31">
                  <c:v>1430.9802322608355</c:v>
                </c:pt>
                <c:pt idx="32">
                  <c:v>1443.4807769096187</c:v>
                </c:pt>
                <c:pt idx="33">
                  <c:v>1456.4615693567036</c:v>
                </c:pt>
                <c:pt idx="34">
                  <c:v>1469.9923356282711</c:v>
                </c:pt>
                <c:pt idx="35">
                  <c:v>1484.3629479679946</c:v>
                </c:pt>
                <c:pt idx="36">
                  <c:v>1499.4441390239658</c:v>
                </c:pt>
                <c:pt idx="37">
                  <c:v>1515.2453100581411</c:v>
                </c:pt>
                <c:pt idx="38">
                  <c:v>1531.2282388234853</c:v>
                </c:pt>
                <c:pt idx="39">
                  <c:v>1547.9993067162213</c:v>
                </c:pt>
                <c:pt idx="40">
                  <c:v>1565.6211888160635</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313.3036342128031</c:v>
                </c:pt>
                <c:pt idx="9">
                  <c:v>307.81416965744336</c:v>
                </c:pt>
                <c:pt idx="10">
                  <c:v>299.52422241648264</c:v>
                </c:pt>
                <c:pt idx="11">
                  <c:v>275.36418621646493</c:v>
                </c:pt>
                <c:pt idx="12">
                  <c:v>229.17427654345988</c:v>
                </c:pt>
                <c:pt idx="13">
                  <c:v>217.34034483127238</c:v>
                </c:pt>
                <c:pt idx="14">
                  <c:v>205.30382412838176</c:v>
                </c:pt>
                <c:pt idx="15">
                  <c:v>193.05742094087532</c:v>
                </c:pt>
                <c:pt idx="16">
                  <c:v>180.70066404629662</c:v>
                </c:pt>
                <c:pt idx="17">
                  <c:v>168.10206065180188</c:v>
                </c:pt>
                <c:pt idx="18">
                  <c:v>155.25490802141766</c:v>
                </c:pt>
                <c:pt idx="19">
                  <c:v>142.14832378244085</c:v>
                </c:pt>
                <c:pt idx="20">
                  <c:v>128.77373973832519</c:v>
                </c:pt>
                <c:pt idx="21">
                  <c:v>113.56964000947163</c:v>
                </c:pt>
                <c:pt idx="22">
                  <c:v>98.459932743278046</c:v>
                </c:pt>
                <c:pt idx="23">
                  <c:v>98.168343633768458</c:v>
                </c:pt>
                <c:pt idx="24">
                  <c:v>97.880366762577253</c:v>
                </c:pt>
                <c:pt idx="25">
                  <c:v>97.596943999394412</c:v>
                </c:pt>
                <c:pt idx="26">
                  <c:v>97.356643396747316</c:v>
                </c:pt>
                <c:pt idx="27">
                  <c:v>97.11957745586389</c:v>
                </c:pt>
                <c:pt idx="28">
                  <c:v>96.884785188148896</c:v>
                </c:pt>
                <c:pt idx="29">
                  <c:v>96.65315796334211</c:v>
                </c:pt>
                <c:pt idx="30">
                  <c:v>96.424643765802159</c:v>
                </c:pt>
                <c:pt idx="31">
                  <c:v>96.232239653351655</c:v>
                </c:pt>
                <c:pt idx="32">
                  <c:v>96.042106440541971</c:v>
                </c:pt>
                <c:pt idx="33">
                  <c:v>95.85379378833197</c:v>
                </c:pt>
                <c:pt idx="34">
                  <c:v>95.667697386784226</c:v>
                </c:pt>
                <c:pt idx="35">
                  <c:v>95.482978329401334</c:v>
                </c:pt>
                <c:pt idx="36">
                  <c:v>95.3329717226393</c:v>
                </c:pt>
                <c:pt idx="37">
                  <c:v>95.183765012554304</c:v>
                </c:pt>
                <c:pt idx="38">
                  <c:v>95.035752719436886</c:v>
                </c:pt>
                <c:pt idx="39">
                  <c:v>94.889308458078077</c:v>
                </c:pt>
                <c:pt idx="40">
                  <c:v>94.743655311642982</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16834.06200274171</c:v>
                </c:pt>
                <c:pt idx="10">
                  <c:v>16434.938683519787</c:v>
                </c:pt>
                <c:pt idx="11">
                  <c:v>16003.408591483274</c:v>
                </c:pt>
                <c:pt idx="12">
                  <c:v>15469.107469086312</c:v>
                </c:pt>
                <c:pt idx="13">
                  <c:v>14888.031294182916</c:v>
                </c:pt>
                <c:pt idx="14">
                  <c:v>14330.64814191726</c:v>
                </c:pt>
                <c:pt idx="15">
                  <c:v>13795.254986535927</c:v>
                </c:pt>
                <c:pt idx="16">
                  <c:v>13280.221842505491</c:v>
                </c:pt>
                <c:pt idx="17">
                  <c:v>12783.907914949914</c:v>
                </c:pt>
                <c:pt idx="18">
                  <c:v>12304.829346180086</c:v>
                </c:pt>
                <c:pt idx="19">
                  <c:v>11841.562577126118</c:v>
                </c:pt>
                <c:pt idx="20">
                  <c:v>11392.743932156265</c:v>
                </c:pt>
                <c:pt idx="21">
                  <c:v>10957.06414862273</c:v>
                </c:pt>
                <c:pt idx="22">
                  <c:v>10530.629363786578</c:v>
                </c:pt>
                <c:pt idx="23">
                  <c:v>10112.940446252822</c:v>
                </c:pt>
                <c:pt idx="24">
                  <c:v>9715.8655731220751</c:v>
                </c:pt>
                <c:pt idx="25">
                  <c:v>9338.4002862920897</c:v>
                </c:pt>
                <c:pt idx="26">
                  <c:v>8979.588045568702</c:v>
                </c:pt>
                <c:pt idx="27">
                  <c:v>8638.479074310304</c:v>
                </c:pt>
                <c:pt idx="28">
                  <c:v>8314.2102947501699</c:v>
                </c:pt>
                <c:pt idx="29">
                  <c:v>8005.9616167592776</c:v>
                </c:pt>
                <c:pt idx="30">
                  <c:v>7712.9519162952938</c:v>
                </c:pt>
                <c:pt idx="31">
                  <c:v>7439.7553525788071</c:v>
                </c:pt>
                <c:pt idx="32">
                  <c:v>7183.822056019585</c:v>
                </c:pt>
                <c:pt idx="33">
                  <c:v>6944.4061111753108</c:v>
                </c:pt>
                <c:pt idx="34">
                  <c:v>6720.7943129293872</c:v>
                </c:pt>
                <c:pt idx="35">
                  <c:v>6512.3049524962253</c:v>
                </c:pt>
                <c:pt idx="36">
                  <c:v>6318.2925108608297</c:v>
                </c:pt>
                <c:pt idx="37">
                  <c:v>6138.1001860608512</c:v>
                </c:pt>
                <c:pt idx="38">
                  <c:v>5971.1374489382961</c:v>
                </c:pt>
                <c:pt idx="39">
                  <c:v>5816.8253675436117</c:v>
                </c:pt>
                <c:pt idx="40">
                  <c:v>5674.6224366582665</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751.33122577178574</c:v>
                </c:pt>
                <c:pt idx="9">
                  <c:v>732.93511709773986</c:v>
                </c:pt>
                <c:pt idx="10">
                  <c:v>731.95057586399832</c:v>
                </c:pt>
                <c:pt idx="11">
                  <c:v>806.58161127498897</c:v>
                </c:pt>
                <c:pt idx="12">
                  <c:v>776.22001966068729</c:v>
                </c:pt>
                <c:pt idx="13">
                  <c:v>779.23705956019307</c:v>
                </c:pt>
                <c:pt idx="14">
                  <c:v>782.1470447400352</c:v>
                </c:pt>
                <c:pt idx="15">
                  <c:v>785.18121339468712</c:v>
                </c:pt>
                <c:pt idx="16">
                  <c:v>788.78491315795122</c:v>
                </c:pt>
                <c:pt idx="17">
                  <c:v>792.35340381341462</c:v>
                </c:pt>
                <c:pt idx="18">
                  <c:v>796.09318202034046</c:v>
                </c:pt>
                <c:pt idx="19">
                  <c:v>799.95666790332211</c:v>
                </c:pt>
                <c:pt idx="20">
                  <c:v>803.95528063245752</c:v>
                </c:pt>
                <c:pt idx="21">
                  <c:v>808.75656585969512</c:v>
                </c:pt>
                <c:pt idx="22">
                  <c:v>813.33232247750743</c:v>
                </c:pt>
                <c:pt idx="23">
                  <c:v>818.41432896964159</c:v>
                </c:pt>
                <c:pt idx="24">
                  <c:v>823.84842653978126</c:v>
                </c:pt>
                <c:pt idx="25">
                  <c:v>829.65650193061356</c:v>
                </c:pt>
                <c:pt idx="26">
                  <c:v>835.6363406716622</c:v>
                </c:pt>
                <c:pt idx="27">
                  <c:v>841.87073174613408</c:v>
                </c:pt>
                <c:pt idx="28">
                  <c:v>848.20028257141803</c:v>
                </c:pt>
                <c:pt idx="29">
                  <c:v>854.79009531517409</c:v>
                </c:pt>
                <c:pt idx="30">
                  <c:v>861.78338540237428</c:v>
                </c:pt>
                <c:pt idx="31">
                  <c:v>869.06453373578199</c:v>
                </c:pt>
                <c:pt idx="32">
                  <c:v>876.65637865559199</c:v>
                </c:pt>
                <c:pt idx="33">
                  <c:v>884.53988821164182</c:v>
                </c:pt>
                <c:pt idx="34">
                  <c:v>892.75740849304327</c:v>
                </c:pt>
                <c:pt idx="35">
                  <c:v>901.48498503879875</c:v>
                </c:pt>
                <c:pt idx="36">
                  <c:v>910.64411105448835</c:v>
                </c:pt>
                <c:pt idx="37">
                  <c:v>920.24049612516069</c:v>
                </c:pt>
                <c:pt idx="38">
                  <c:v>929.94726650677546</c:v>
                </c:pt>
                <c:pt idx="39">
                  <c:v>940.13269043497644</c:v>
                </c:pt>
                <c:pt idx="40">
                  <c:v>950.83483181008842</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313.3036342128031</c:v>
                </c:pt>
                <c:pt idx="9">
                  <c:v>307.81416965744336</c:v>
                </c:pt>
                <c:pt idx="10">
                  <c:v>299.52422241648264</c:v>
                </c:pt>
                <c:pt idx="11">
                  <c:v>275.36418621646493</c:v>
                </c:pt>
                <c:pt idx="12">
                  <c:v>229.17427654345988</c:v>
                </c:pt>
                <c:pt idx="13">
                  <c:v>217.34034483127238</c:v>
                </c:pt>
                <c:pt idx="14">
                  <c:v>205.30382412838176</c:v>
                </c:pt>
                <c:pt idx="15">
                  <c:v>193.05742094087532</c:v>
                </c:pt>
                <c:pt idx="16">
                  <c:v>180.70066404629659</c:v>
                </c:pt>
                <c:pt idx="17">
                  <c:v>168.10206065180193</c:v>
                </c:pt>
                <c:pt idx="18">
                  <c:v>155.25490802141766</c:v>
                </c:pt>
                <c:pt idx="19">
                  <c:v>142.14832378244085</c:v>
                </c:pt>
                <c:pt idx="20">
                  <c:v>128.77373973832522</c:v>
                </c:pt>
                <c:pt idx="21">
                  <c:v>113.5696400094716</c:v>
                </c:pt>
                <c:pt idx="22">
                  <c:v>98.459932743278046</c:v>
                </c:pt>
                <c:pt idx="23">
                  <c:v>98.168343633768458</c:v>
                </c:pt>
                <c:pt idx="24">
                  <c:v>97.880366762577253</c:v>
                </c:pt>
                <c:pt idx="25">
                  <c:v>97.596943999394412</c:v>
                </c:pt>
                <c:pt idx="26">
                  <c:v>97.35664339674733</c:v>
                </c:pt>
                <c:pt idx="27">
                  <c:v>97.119577455863862</c:v>
                </c:pt>
                <c:pt idx="28">
                  <c:v>96.884785188148896</c:v>
                </c:pt>
                <c:pt idx="29">
                  <c:v>96.653157963342096</c:v>
                </c:pt>
                <c:pt idx="30">
                  <c:v>96.424643765802131</c:v>
                </c:pt>
                <c:pt idx="31">
                  <c:v>96.232239653351655</c:v>
                </c:pt>
                <c:pt idx="32">
                  <c:v>96.042106440541971</c:v>
                </c:pt>
                <c:pt idx="33">
                  <c:v>95.85379378833197</c:v>
                </c:pt>
                <c:pt idx="34">
                  <c:v>95.667697386784226</c:v>
                </c:pt>
                <c:pt idx="35">
                  <c:v>95.482978329401334</c:v>
                </c:pt>
                <c:pt idx="36">
                  <c:v>95.3329717226393</c:v>
                </c:pt>
                <c:pt idx="37">
                  <c:v>95.183765012554304</c:v>
                </c:pt>
                <c:pt idx="38">
                  <c:v>95.035752719436886</c:v>
                </c:pt>
                <c:pt idx="39">
                  <c:v>94.889308458078091</c:v>
                </c:pt>
                <c:pt idx="40">
                  <c:v>94.743655311642982</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19184.051761689574</c:v>
                </c:pt>
                <c:pt idx="1">
                  <c:v>19161.774402560713</c:v>
                </c:pt>
                <c:pt idx="2">
                  <c:v>19042.492354796916</c:v>
                </c:pt>
                <c:pt idx="3">
                  <c:v>18811.009746490032</c:v>
                </c:pt>
                <c:pt idx="4">
                  <c:v>18548.08471471896</c:v>
                </c:pt>
                <c:pt idx="5">
                  <c:v>18255.774711912381</c:v>
                </c:pt>
                <c:pt idx="6">
                  <c:v>17936.020956703142</c:v>
                </c:pt>
                <c:pt idx="7">
                  <c:v>17590.871904814656</c:v>
                </c:pt>
                <c:pt idx="8">
                  <c:v>17223.550074345865</c:v>
                </c:pt>
                <c:pt idx="9">
                  <c:v>16834.06200274171</c:v>
                </c:pt>
                <c:pt idx="10">
                  <c:v>16434.938683519787</c:v>
                </c:pt>
                <c:pt idx="11">
                  <c:v>16003.408591483274</c:v>
                </c:pt>
                <c:pt idx="12">
                  <c:v>15469.107469086312</c:v>
                </c:pt>
                <c:pt idx="13">
                  <c:v>14888.031294182916</c:v>
                </c:pt>
                <c:pt idx="14">
                  <c:v>14330.64814191726</c:v>
                </c:pt>
                <c:pt idx="15">
                  <c:v>13795.254986535927</c:v>
                </c:pt>
                <c:pt idx="16">
                  <c:v>13280.221842505491</c:v>
                </c:pt>
                <c:pt idx="17">
                  <c:v>12783.907914949914</c:v>
                </c:pt>
                <c:pt idx="18">
                  <c:v>12304.829346180086</c:v>
                </c:pt>
                <c:pt idx="19">
                  <c:v>11841.562577126118</c:v>
                </c:pt>
                <c:pt idx="20">
                  <c:v>11392.743932156265</c:v>
                </c:pt>
                <c:pt idx="21">
                  <c:v>10957.06414862273</c:v>
                </c:pt>
                <c:pt idx="22">
                  <c:v>10530.629363786578</c:v>
                </c:pt>
                <c:pt idx="23">
                  <c:v>10112.940446252822</c:v>
                </c:pt>
                <c:pt idx="24">
                  <c:v>9715.8655731220751</c:v>
                </c:pt>
                <c:pt idx="25">
                  <c:v>9338.4002862920897</c:v>
                </c:pt>
                <c:pt idx="26">
                  <c:v>8979.588045568702</c:v>
                </c:pt>
                <c:pt idx="27">
                  <c:v>8638.479074310304</c:v>
                </c:pt>
                <c:pt idx="28">
                  <c:v>8314.2102947501699</c:v>
                </c:pt>
                <c:pt idx="29">
                  <c:v>8005.9616167592776</c:v>
                </c:pt>
                <c:pt idx="30">
                  <c:v>7712.9519162952938</c:v>
                </c:pt>
                <c:pt idx="31">
                  <c:v>7439.7553525788071</c:v>
                </c:pt>
                <c:pt idx="32">
                  <c:v>7183.822056019585</c:v>
                </c:pt>
                <c:pt idx="33">
                  <c:v>6944.4061111753108</c:v>
                </c:pt>
                <c:pt idx="34">
                  <c:v>6720.7943129293872</c:v>
                </c:pt>
                <c:pt idx="35">
                  <c:v>6512.3049524962253</c:v>
                </c:pt>
                <c:pt idx="36">
                  <c:v>6318.2925108608297</c:v>
                </c:pt>
                <c:pt idx="37">
                  <c:v>6138.1001860608512</c:v>
                </c:pt>
                <c:pt idx="38">
                  <c:v>5971.1374489382961</c:v>
                </c:pt>
                <c:pt idx="39">
                  <c:v>5816.8253675436117</c:v>
                </c:pt>
                <c:pt idx="40">
                  <c:v>5674.6224366582665</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456.56943386834331</c:v>
                </c:pt>
                <c:pt idx="1">
                  <c:v>487.40346591697141</c:v>
                </c:pt>
                <c:pt idx="2">
                  <c:v>538.4258210540205</c:v>
                </c:pt>
                <c:pt idx="3">
                  <c:v>588.61902473493001</c:v>
                </c:pt>
                <c:pt idx="4">
                  <c:v>634.907888186989</c:v>
                </c:pt>
                <c:pt idx="5">
                  <c:v>677.08369940873115</c:v>
                </c:pt>
                <c:pt idx="6">
                  <c:v>715.27848236533293</c:v>
                </c:pt>
                <c:pt idx="7">
                  <c:v>751.39758292651663</c:v>
                </c:pt>
                <c:pt idx="8">
                  <c:v>751.33122577178574</c:v>
                </c:pt>
                <c:pt idx="9">
                  <c:v>732.93511709773986</c:v>
                </c:pt>
                <c:pt idx="10">
                  <c:v>731.95057586399832</c:v>
                </c:pt>
                <c:pt idx="11">
                  <c:v>806.58161127498897</c:v>
                </c:pt>
                <c:pt idx="12">
                  <c:v>776.22001966068729</c:v>
                </c:pt>
                <c:pt idx="13">
                  <c:v>779.23705956019307</c:v>
                </c:pt>
                <c:pt idx="14">
                  <c:v>782.1470447400352</c:v>
                </c:pt>
                <c:pt idx="15">
                  <c:v>785.18121339468712</c:v>
                </c:pt>
                <c:pt idx="16">
                  <c:v>788.78491315795122</c:v>
                </c:pt>
                <c:pt idx="17">
                  <c:v>792.35340381341462</c:v>
                </c:pt>
                <c:pt idx="18">
                  <c:v>796.09318202034046</c:v>
                </c:pt>
                <c:pt idx="19">
                  <c:v>799.95666790332211</c:v>
                </c:pt>
                <c:pt idx="20">
                  <c:v>803.95528063245752</c:v>
                </c:pt>
                <c:pt idx="21">
                  <c:v>808.75656585969512</c:v>
                </c:pt>
                <c:pt idx="22">
                  <c:v>813.33232247750743</c:v>
                </c:pt>
                <c:pt idx="23">
                  <c:v>818.41432896964159</c:v>
                </c:pt>
                <c:pt idx="24">
                  <c:v>823.84842653978126</c:v>
                </c:pt>
                <c:pt idx="25">
                  <c:v>829.65650193061356</c:v>
                </c:pt>
                <c:pt idx="26">
                  <c:v>835.6363406716622</c:v>
                </c:pt>
                <c:pt idx="27">
                  <c:v>841.87073174613408</c:v>
                </c:pt>
                <c:pt idx="28">
                  <c:v>848.20028257141803</c:v>
                </c:pt>
                <c:pt idx="29">
                  <c:v>854.79009531517409</c:v>
                </c:pt>
                <c:pt idx="30">
                  <c:v>861.78338540237428</c:v>
                </c:pt>
                <c:pt idx="31">
                  <c:v>869.06453373578199</c:v>
                </c:pt>
                <c:pt idx="32">
                  <c:v>876.65637865559199</c:v>
                </c:pt>
                <c:pt idx="33">
                  <c:v>884.53988821164182</c:v>
                </c:pt>
                <c:pt idx="34">
                  <c:v>892.75740849304327</c:v>
                </c:pt>
                <c:pt idx="35">
                  <c:v>901.48498503879875</c:v>
                </c:pt>
                <c:pt idx="36">
                  <c:v>910.64411105448835</c:v>
                </c:pt>
                <c:pt idx="37">
                  <c:v>920.24049612516069</c:v>
                </c:pt>
                <c:pt idx="38">
                  <c:v>929.94726650677546</c:v>
                </c:pt>
                <c:pt idx="39">
                  <c:v>940.13269043497644</c:v>
                </c:pt>
                <c:pt idx="40">
                  <c:v>950.83483181008842</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306.05386884064137</c:v>
                </c:pt>
                <c:pt idx="3">
                  <c:v>310.65162675346664</c:v>
                </c:pt>
                <c:pt idx="4">
                  <c:v>314.51680959429882</c:v>
                </c:pt>
                <c:pt idx="5">
                  <c:v>317.61320692281578</c:v>
                </c:pt>
                <c:pt idx="6">
                  <c:v>319.90724608551255</c:v>
                </c:pt>
                <c:pt idx="7">
                  <c:v>321.35043715255375</c:v>
                </c:pt>
                <c:pt idx="8">
                  <c:v>313.3036342128031</c:v>
                </c:pt>
                <c:pt idx="9">
                  <c:v>307.81416965744336</c:v>
                </c:pt>
                <c:pt idx="10">
                  <c:v>299.52422241648264</c:v>
                </c:pt>
                <c:pt idx="11">
                  <c:v>275.36418621646493</c:v>
                </c:pt>
                <c:pt idx="12">
                  <c:v>229.17427654345988</c:v>
                </c:pt>
                <c:pt idx="13">
                  <c:v>217.34034483127238</c:v>
                </c:pt>
                <c:pt idx="14">
                  <c:v>205.30382412838176</c:v>
                </c:pt>
                <c:pt idx="15">
                  <c:v>193.05742094087532</c:v>
                </c:pt>
                <c:pt idx="16">
                  <c:v>180.70066404629659</c:v>
                </c:pt>
                <c:pt idx="17">
                  <c:v>168.10206065180193</c:v>
                </c:pt>
                <c:pt idx="18">
                  <c:v>155.25490802141766</c:v>
                </c:pt>
                <c:pt idx="19">
                  <c:v>142.14832378244085</c:v>
                </c:pt>
                <c:pt idx="20">
                  <c:v>128.77373973832522</c:v>
                </c:pt>
                <c:pt idx="21">
                  <c:v>113.5696400094716</c:v>
                </c:pt>
                <c:pt idx="22">
                  <c:v>98.459932743278046</c:v>
                </c:pt>
                <c:pt idx="23">
                  <c:v>98.168343633768458</c:v>
                </c:pt>
                <c:pt idx="24">
                  <c:v>97.880366762577253</c:v>
                </c:pt>
                <c:pt idx="25">
                  <c:v>97.596943999394412</c:v>
                </c:pt>
                <c:pt idx="26">
                  <c:v>97.35664339674733</c:v>
                </c:pt>
                <c:pt idx="27">
                  <c:v>97.119577455863862</c:v>
                </c:pt>
                <c:pt idx="28">
                  <c:v>96.884785188148896</c:v>
                </c:pt>
                <c:pt idx="29">
                  <c:v>96.653157963342096</c:v>
                </c:pt>
                <c:pt idx="30">
                  <c:v>96.424643765802131</c:v>
                </c:pt>
                <c:pt idx="31">
                  <c:v>96.232239653351655</c:v>
                </c:pt>
                <c:pt idx="32">
                  <c:v>96.042106440541971</c:v>
                </c:pt>
                <c:pt idx="33">
                  <c:v>95.85379378833197</c:v>
                </c:pt>
                <c:pt idx="34">
                  <c:v>95.667697386784226</c:v>
                </c:pt>
                <c:pt idx="35">
                  <c:v>95.482978329401334</c:v>
                </c:pt>
                <c:pt idx="36">
                  <c:v>95.3329717226393</c:v>
                </c:pt>
                <c:pt idx="37">
                  <c:v>95.183765012554304</c:v>
                </c:pt>
                <c:pt idx="38">
                  <c:v>95.035752719436886</c:v>
                </c:pt>
                <c:pt idx="39">
                  <c:v>94.889308458078091</c:v>
                </c:pt>
                <c:pt idx="40">
                  <c:v>94.743655311642982</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3367.6763543372203</c:v>
                </c:pt>
                <c:pt idx="3">
                  <c:v>3417.813380233612</c:v>
                </c:pt>
                <c:pt idx="4">
                  <c:v>3469.8168679412947</c:v>
                </c:pt>
                <c:pt idx="5">
                  <c:v>3523.7511782123806</c:v>
                </c:pt>
                <c:pt idx="6">
                  <c:v>3579.7450325510972</c:v>
                </c:pt>
                <c:pt idx="7">
                  <c:v>3637.7984309574467</c:v>
                </c:pt>
                <c:pt idx="8">
                  <c:v>3778.1317472739725</c:v>
                </c:pt>
                <c:pt idx="9">
                  <c:v>3922.0671678896119</c:v>
                </c:pt>
                <c:pt idx="10">
                  <c:v>4069.6685524307268</c:v>
                </c:pt>
                <c:pt idx="11">
                  <c:v>4201.6695034402455</c:v>
                </c:pt>
                <c:pt idx="12">
                  <c:v>4336.1091427486772</c:v>
                </c:pt>
                <c:pt idx="13">
                  <c:v>4473.1630222529147</c:v>
                </c:pt>
                <c:pt idx="14">
                  <c:v>4612.7951632570066</c:v>
                </c:pt>
                <c:pt idx="15">
                  <c:v>4755.0396242283468</c:v>
                </c:pt>
                <c:pt idx="16">
                  <c:v>4891.8315325087806</c:v>
                </c:pt>
                <c:pt idx="17">
                  <c:v>5030.9273143213595</c:v>
                </c:pt>
                <c:pt idx="18">
                  <c:v>5172.1968290590494</c:v>
                </c:pt>
                <c:pt idx="19">
                  <c:v>5315.8241432355899</c:v>
                </c:pt>
                <c:pt idx="20">
                  <c:v>5461.7562489213324</c:v>
                </c:pt>
                <c:pt idx="21">
                  <c:v>5508.3777658135459</c:v>
                </c:pt>
                <c:pt idx="22">
                  <c:v>5555.4133281488503</c:v>
                </c:pt>
                <c:pt idx="23">
                  <c:v>5602.7801268386283</c:v>
                </c:pt>
                <c:pt idx="24">
                  <c:v>5650.6437800601161</c:v>
                </c:pt>
                <c:pt idx="25">
                  <c:v>5698.8386696360794</c:v>
                </c:pt>
                <c:pt idx="26">
                  <c:v>5740.5744502998004</c:v>
                </c:pt>
                <c:pt idx="27">
                  <c:v>5782.5586582293754</c:v>
                </c:pt>
                <c:pt idx="28">
                  <c:v>5824.9569116020448</c:v>
                </c:pt>
                <c:pt idx="29">
                  <c:v>5867.6035922405699</c:v>
                </c:pt>
                <c:pt idx="30">
                  <c:v>5910.4987001449481</c:v>
                </c:pt>
                <c:pt idx="31">
                  <c:v>5947.2659354915595</c:v>
                </c:pt>
                <c:pt idx="32">
                  <c:v>5984.1987890154069</c:v>
                </c:pt>
                <c:pt idx="33">
                  <c:v>6021.38006980511</c:v>
                </c:pt>
                <c:pt idx="34">
                  <c:v>6058.7269687720527</c:v>
                </c:pt>
                <c:pt idx="35">
                  <c:v>6096.4051040934646</c:v>
                </c:pt>
                <c:pt idx="36">
                  <c:v>6127.4585123254001</c:v>
                </c:pt>
                <c:pt idx="37">
                  <c:v>6158.7603478231922</c:v>
                </c:pt>
                <c:pt idx="38">
                  <c:v>6190.2278014982176</c:v>
                </c:pt>
                <c:pt idx="39">
                  <c:v>6221.7780642618636</c:v>
                </c:pt>
                <c:pt idx="40">
                  <c:v>6253.5767542913654</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11144.041726220405</c:v>
                </c:pt>
                <c:pt idx="1">
                  <c:v>10475.39922264718</c:v>
                </c:pt>
                <c:pt idx="2">
                  <c:v>9918.1971363361608</c:v>
                </c:pt>
                <c:pt idx="3">
                  <c:v>9026.6737982385275</c:v>
                </c:pt>
                <c:pt idx="4">
                  <c:v>7243.6271220432636</c:v>
                </c:pt>
                <c:pt idx="5">
                  <c:v>5572.0208631102023</c:v>
                </c:pt>
                <c:pt idx="6">
                  <c:v>5237.69961132359</c:v>
                </c:pt>
                <c:pt idx="7">
                  <c:v>4903.3783595369778</c:v>
                </c:pt>
                <c:pt idx="8">
                  <c:v>4569.0571077503655</c:v>
                </c:pt>
                <c:pt idx="9">
                  <c:v>4234.7358559637532</c:v>
                </c:pt>
                <c:pt idx="10">
                  <c:v>3900.4146041771414</c:v>
                </c:pt>
                <c:pt idx="11">
                  <c:v>3566.0933523905292</c:v>
                </c:pt>
                <c:pt idx="12">
                  <c:v>3231.7721006039169</c:v>
                </c:pt>
                <c:pt idx="13">
                  <c:v>2897.4508488173046</c:v>
                </c:pt>
                <c:pt idx="14">
                  <c:v>2563.1295970306924</c:v>
                </c:pt>
                <c:pt idx="15">
                  <c:v>2228.8083452440806</c:v>
                </c:pt>
                <c:pt idx="16">
                  <c:v>2228.8083452440806</c:v>
                </c:pt>
                <c:pt idx="17">
                  <c:v>2228.8083452440806</c:v>
                </c:pt>
                <c:pt idx="18">
                  <c:v>2228.8083452440806</c:v>
                </c:pt>
                <c:pt idx="19">
                  <c:v>2228.8083452440806</c:v>
                </c:pt>
                <c:pt idx="20">
                  <c:v>2228.8083452440806</c:v>
                </c:pt>
                <c:pt idx="21">
                  <c:v>2228.8083452440806</c:v>
                </c:pt>
                <c:pt idx="22">
                  <c:v>2228.8083452440806</c:v>
                </c:pt>
                <c:pt idx="23">
                  <c:v>2228.8083452440806</c:v>
                </c:pt>
                <c:pt idx="24">
                  <c:v>2228.8083452440806</c:v>
                </c:pt>
                <c:pt idx="25">
                  <c:v>2228.8083452440806</c:v>
                </c:pt>
                <c:pt idx="26">
                  <c:v>2228.8083452440806</c:v>
                </c:pt>
                <c:pt idx="27">
                  <c:v>2228.8083452440806</c:v>
                </c:pt>
                <c:pt idx="28">
                  <c:v>2228.8083452440806</c:v>
                </c:pt>
                <c:pt idx="29">
                  <c:v>2228.8083452440806</c:v>
                </c:pt>
                <c:pt idx="30">
                  <c:v>2228.8083452440806</c:v>
                </c:pt>
                <c:pt idx="31">
                  <c:v>2228.8083452440806</c:v>
                </c:pt>
                <c:pt idx="32">
                  <c:v>2228.8083452440806</c:v>
                </c:pt>
                <c:pt idx="33">
                  <c:v>2228.8083452440806</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6573.322273428581</c:v>
                </c:pt>
                <c:pt idx="1">
                  <c:v>6782.3256466462362</c:v>
                </c:pt>
                <c:pt idx="2">
                  <c:v>6996.3959826042337</c:v>
                </c:pt>
                <c:pt idx="3">
                  <c:v>7215.6137511887273</c:v>
                </c:pt>
                <c:pt idx="4">
                  <c:v>7405.9873375883362</c:v>
                </c:pt>
                <c:pt idx="5">
                  <c:v>7599.6802967011572</c:v>
                </c:pt>
                <c:pt idx="6">
                  <c:v>7796.9842331839682</c:v>
                </c:pt>
                <c:pt idx="7">
                  <c:v>7997.8186147271481</c:v>
                </c:pt>
                <c:pt idx="8">
                  <c:v>8202.226358603315</c:v>
                </c:pt>
                <c:pt idx="9">
                  <c:v>8396.3493606116863</c:v>
                </c:pt>
                <c:pt idx="10">
                  <c:v>8593.6218544624971</c:v>
                </c:pt>
                <c:pt idx="11">
                  <c:v>8793.8094585291183</c:v>
                </c:pt>
                <c:pt idx="12">
                  <c:v>8997.2145067864876</c:v>
                </c:pt>
                <c:pt idx="13">
                  <c:v>9203.7350082886751</c:v>
                </c:pt>
                <c:pt idx="14">
                  <c:v>9282.2980322693056</c:v>
                </c:pt>
                <c:pt idx="15">
                  <c:v>9361.5587740472802</c:v>
                </c:pt>
                <c:pt idx="16">
                  <c:v>9441.3776900631256</c:v>
                </c:pt>
                <c:pt idx="17">
                  <c:v>9522.0338674357772</c:v>
                </c:pt>
                <c:pt idx="18">
                  <c:v>9603.2482190463088</c:v>
                </c:pt>
                <c:pt idx="19">
                  <c:v>9673.5781730183098</c:v>
                </c:pt>
                <c:pt idx="20">
                  <c:v>9744.3267576687213</c:v>
                </c:pt>
                <c:pt idx="21">
                  <c:v>9815.7730601164712</c:v>
                </c:pt>
                <c:pt idx="22">
                  <c:v>9887.6379932426262</c:v>
                </c:pt>
                <c:pt idx="23">
                  <c:v>9959.9215570471843</c:v>
                </c:pt>
                <c:pt idx="24">
                  <c:v>10021.878897451094</c:v>
                </c:pt>
                <c:pt idx="25">
                  <c:v>10084.115324973938</c:v>
                </c:pt>
                <c:pt idx="26">
                  <c:v>10146.770383175188</c:v>
                </c:pt>
                <c:pt idx="27">
                  <c:v>10209.704528495375</c:v>
                </c:pt>
                <c:pt idx="28">
                  <c:v>10273.196848053434</c:v>
                </c:pt>
                <c:pt idx="29">
                  <c:v>10325.525682854031</c:v>
                </c:pt>
                <c:pt idx="30">
                  <c:v>10378.273148333035</c:v>
                </c:pt>
                <c:pt idx="31">
                  <c:v>10431.299700930973</c:v>
                </c:pt>
                <c:pt idx="32">
                  <c:v>10484.465797088382</c:v>
                </c:pt>
                <c:pt idx="33">
                  <c:v>10538.050523924194</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3350.003081988611</c:v>
                </c:pt>
                <c:pt idx="1">
                  <c:v>3707.5237846120858</c:v>
                </c:pt>
                <c:pt idx="2">
                  <c:v>4010.8726104984025</c:v>
                </c:pt>
                <c:pt idx="3">
                  <c:v>4617.5702622710369</c:v>
                </c:pt>
                <c:pt idx="4">
                  <c:v>5830.9655658163047</c:v>
                </c:pt>
                <c:pt idx="5">
                  <c:v>6437.663217588939</c:v>
                </c:pt>
                <c:pt idx="6">
                  <c:v>6437.663217588939</c:v>
                </c:pt>
                <c:pt idx="7">
                  <c:v>6437.663217588939</c:v>
                </c:pt>
                <c:pt idx="8">
                  <c:v>6437.663217588939</c:v>
                </c:pt>
                <c:pt idx="9">
                  <c:v>6437.663217588939</c:v>
                </c:pt>
                <c:pt idx="10">
                  <c:v>6437.663217588939</c:v>
                </c:pt>
                <c:pt idx="11">
                  <c:v>6437.663217588939</c:v>
                </c:pt>
                <c:pt idx="12">
                  <c:v>6437.663217588939</c:v>
                </c:pt>
                <c:pt idx="13">
                  <c:v>6437.663217588939</c:v>
                </c:pt>
                <c:pt idx="14">
                  <c:v>6437.663217588939</c:v>
                </c:pt>
                <c:pt idx="15">
                  <c:v>6437.663217588939</c:v>
                </c:pt>
                <c:pt idx="16">
                  <c:v>6437.663217588939</c:v>
                </c:pt>
                <c:pt idx="17">
                  <c:v>6437.663217588939</c:v>
                </c:pt>
                <c:pt idx="18">
                  <c:v>6437.663217588939</c:v>
                </c:pt>
                <c:pt idx="19">
                  <c:v>6437.663217588939</c:v>
                </c:pt>
                <c:pt idx="20">
                  <c:v>6437.663217588939</c:v>
                </c:pt>
                <c:pt idx="21">
                  <c:v>6437.663217588939</c:v>
                </c:pt>
                <c:pt idx="22">
                  <c:v>6437.663217588939</c:v>
                </c:pt>
                <c:pt idx="23">
                  <c:v>6437.663217588939</c:v>
                </c:pt>
                <c:pt idx="24">
                  <c:v>6437.663217588939</c:v>
                </c:pt>
                <c:pt idx="25">
                  <c:v>6437.663217588939</c:v>
                </c:pt>
                <c:pt idx="26">
                  <c:v>6437.663217588939</c:v>
                </c:pt>
                <c:pt idx="27">
                  <c:v>6437.663217588939</c:v>
                </c:pt>
                <c:pt idx="28">
                  <c:v>6437.663217588939</c:v>
                </c:pt>
                <c:pt idx="29">
                  <c:v>6437.663217588939</c:v>
                </c:pt>
                <c:pt idx="30">
                  <c:v>6437.663217588939</c:v>
                </c:pt>
                <c:pt idx="31">
                  <c:v>6437.663217588939</c:v>
                </c:pt>
                <c:pt idx="32">
                  <c:v>6437.663217588939</c:v>
                </c:pt>
                <c:pt idx="33">
                  <c:v>6437.663217588939</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2912.8337723127793</c:v>
                </c:pt>
                <c:pt idx="1">
                  <c:v>2839.8947106150845</c:v>
                </c:pt>
                <c:pt idx="2">
                  <c:v>2790.1362665611405</c:v>
                </c:pt>
                <c:pt idx="3">
                  <c:v>2714.9932591075731</c:v>
                </c:pt>
                <c:pt idx="4">
                  <c:v>2495.998164508394</c:v>
                </c:pt>
                <c:pt idx="5">
                  <c:v>2077.3165220380142</c:v>
                </c:pt>
                <c:pt idx="6">
                  <c:v>1970.0495886056535</c:v>
                </c:pt>
                <c:pt idx="7">
                  <c:v>1860.9463170645056</c:v>
                </c:pt>
                <c:pt idx="8">
                  <c:v>1749.9405966117486</c:v>
                </c:pt>
                <c:pt idx="9">
                  <c:v>1637.9345912124134</c:v>
                </c:pt>
                <c:pt idx="10">
                  <c:v>1523.736403786151</c:v>
                </c:pt>
                <c:pt idx="11">
                  <c:v>1407.2852783685898</c:v>
                </c:pt>
                <c:pt idx="12">
                  <c:v>1288.4825732929773</c:v>
                </c:pt>
                <c:pt idx="13">
                  <c:v>1167.2506234019572</c:v>
                </c:pt>
                <c:pt idx="14">
                  <c:v>1029.4352976776856</c:v>
                </c:pt>
                <c:pt idx="15">
                  <c:v>892.47557854764841</c:v>
                </c:pt>
                <c:pt idx="16">
                  <c:v>889.83251195236335</c:v>
                </c:pt>
                <c:pt idx="17">
                  <c:v>887.22218796001607</c:v>
                </c:pt>
                <c:pt idx="18">
                  <c:v>884.65314400987734</c:v>
                </c:pt>
                <c:pt idx="19">
                  <c:v>882.47497454136862</c:v>
                </c:pt>
                <c:pt idx="20">
                  <c:v>880.32612518865233</c:v>
                </c:pt>
                <c:pt idx="21">
                  <c:v>878.19788521195244</c:v>
                </c:pt>
                <c:pt idx="22">
                  <c:v>876.09833430116885</c:v>
                </c:pt>
                <c:pt idx="23">
                  <c:v>874.02700096817136</c:v>
                </c:pt>
                <c:pt idx="24">
                  <c:v>872.28298219028011</c:v>
                </c:pt>
                <c:pt idx="25">
                  <c:v>870.55954764817159</c:v>
                </c:pt>
                <c:pt idx="26">
                  <c:v>868.85261530984496</c:v>
                </c:pt>
                <c:pt idx="27">
                  <c:v>867.16577184967298</c:v>
                </c:pt>
                <c:pt idx="28">
                  <c:v>865.49141312309928</c:v>
                </c:pt>
                <c:pt idx="29">
                  <c:v>864.13170029955938</c:v>
                </c:pt>
                <c:pt idx="30">
                  <c:v>862.77923802179725</c:v>
                </c:pt>
                <c:pt idx="31">
                  <c:v>861.43760236095864</c:v>
                </c:pt>
                <c:pt idx="32">
                  <c:v>860.11017989336506</c:v>
                </c:pt>
                <c:pt idx="33">
                  <c:v>858.78992837063765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55436.163761568474</c:v>
                </c:pt>
                <c:pt idx="4">
                  <c:v>44485.810425950018</c:v>
                </c:pt>
                <c:pt idx="5">
                  <c:v>37102.569536250499</c:v>
                </c:pt>
                <c:pt idx="6">
                  <c:v>35001.710950493005</c:v>
                </c:pt>
                <c:pt idx="7">
                  <c:v>32706.974601156599</c:v>
                </c:pt>
                <c:pt idx="8">
                  <c:v>29904.349337096308</c:v>
                </c:pt>
                <c:pt idx="9">
                  <c:v>28144.21256929536</c:v>
                </c:pt>
                <c:pt idx="10">
                  <c:v>26435.386684551708</c:v>
                </c:pt>
                <c:pt idx="11">
                  <c:v>24777.87168286536</c:v>
                </c:pt>
                <c:pt idx="12">
                  <c:v>23171.667564236312</c:v>
                </c:pt>
                <c:pt idx="13">
                  <c:v>21616.774328664567</c:v>
                </c:pt>
                <c:pt idx="14">
                  <c:v>21507.858419631099</c:v>
                </c:pt>
                <c:pt idx="15">
                  <c:v>21398.942510597622</c:v>
                </c:pt>
                <c:pt idx="16">
                  <c:v>21290.026601564157</c:v>
                </c:pt>
                <c:pt idx="17">
                  <c:v>21181.110692530685</c:v>
                </c:pt>
                <c:pt idx="18">
                  <c:v>21072.194783497216</c:v>
                </c:pt>
                <c:pt idx="19">
                  <c:v>19371.237482179007</c:v>
                </c:pt>
                <c:pt idx="20">
                  <c:v>17670.280180860791</c:v>
                </c:pt>
                <c:pt idx="21">
                  <c:v>15969.32287954258</c:v>
                </c:pt>
                <c:pt idx="22">
                  <c:v>14268.365578224364</c:v>
                </c:pt>
                <c:pt idx="23">
                  <c:v>13687.941669523079</c:v>
                </c:pt>
                <c:pt idx="24">
                  <c:v>13687.941669523083</c:v>
                </c:pt>
                <c:pt idx="25">
                  <c:v>13687.941669523083</c:v>
                </c:pt>
                <c:pt idx="26">
                  <c:v>13687.941669523079</c:v>
                </c:pt>
                <c:pt idx="27">
                  <c:v>13687.941669523076</c:v>
                </c:pt>
                <c:pt idx="28">
                  <c:v>13687.941669523078</c:v>
                </c:pt>
                <c:pt idx="29">
                  <c:v>13687.941669523087</c:v>
                </c:pt>
                <c:pt idx="30">
                  <c:v>13687.941669523076</c:v>
                </c:pt>
                <c:pt idx="31">
                  <c:v>13687.941669523083</c:v>
                </c:pt>
                <c:pt idx="32">
                  <c:v>13687.941669523083</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7428.192334688978</c:v>
                </c:pt>
                <c:pt idx="2">
                  <c:v>8723.5671246015063</c:v>
                </c:pt>
                <c:pt idx="3">
                  <c:v>9483.9194914905984</c:v>
                </c:pt>
                <c:pt idx="4">
                  <c:v>10743.028570395385</c:v>
                </c:pt>
                <c:pt idx="5">
                  <c:v>11762.411300432748</c:v>
                </c:pt>
                <c:pt idx="6">
                  <c:v>12766.377783194815</c:v>
                </c:pt>
                <c:pt idx="7">
                  <c:v>13625.94506123162</c:v>
                </c:pt>
                <c:pt idx="8">
                  <c:v>14193.799436497282</c:v>
                </c:pt>
                <c:pt idx="9">
                  <c:v>15041.40590765981</c:v>
                </c:pt>
                <c:pt idx="10">
                  <c:v>15836.989254075068</c:v>
                </c:pt>
                <c:pt idx="11">
                  <c:v>16584.72667700579</c:v>
                </c:pt>
                <c:pt idx="12">
                  <c:v>17283.655687681759</c:v>
                </c:pt>
                <c:pt idx="13">
                  <c:v>17934.007283407827</c:v>
                </c:pt>
                <c:pt idx="14">
                  <c:v>17958.521419187695</c:v>
                </c:pt>
                <c:pt idx="15">
                  <c:v>17978.473358196748</c:v>
                </c:pt>
                <c:pt idx="16">
                  <c:v>18008.666177720872</c:v>
                </c:pt>
                <c:pt idx="17">
                  <c:v>18045.981414144564</c:v>
                </c:pt>
                <c:pt idx="18">
                  <c:v>18090.861812302133</c:v>
                </c:pt>
                <c:pt idx="19">
                  <c:v>17077.855866730344</c:v>
                </c:pt>
                <c:pt idx="20">
                  <c:v>16069.999236079195</c:v>
                </c:pt>
                <c:pt idx="21">
                  <c:v>15064.067582968466</c:v>
                </c:pt>
                <c:pt idx="22">
                  <c:v>14063.400743430801</c:v>
                </c:pt>
                <c:pt idx="23">
                  <c:v>13070.895808664543</c:v>
                </c:pt>
                <c:pt idx="24">
                  <c:v>12705.793090131663</c:v>
                </c:pt>
                <c:pt idx="25">
                  <c:v>12346.975423268272</c:v>
                </c:pt>
                <c:pt idx="26">
                  <c:v>11994.057812566287</c:v>
                </c:pt>
                <c:pt idx="27">
                  <c:v>11647.896873031197</c:v>
                </c:pt>
                <c:pt idx="28">
                  <c:v>11312.053813112787</c:v>
                </c:pt>
                <c:pt idx="29">
                  <c:v>10984.940526340208</c:v>
                </c:pt>
                <c:pt idx="30">
                  <c:v>10666.672511365883</c:v>
                </c:pt>
                <c:pt idx="31">
                  <c:v>10350.637470338455</c:v>
                </c:pt>
                <c:pt idx="32">
                  <c:v>10044.285066339367</c:v>
                </c:pt>
                <c:pt idx="33">
                  <c:v>9748.385290384791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1787.3285316252955</c:v>
                </c:pt>
                <c:pt idx="2">
                  <c:v>1877.2124191793723</c:v>
                </c:pt>
                <c:pt idx="3">
                  <c:v>1902.4705235478471</c:v>
                </c:pt>
                <c:pt idx="4">
                  <c:v>2238.7918742794518</c:v>
                </c:pt>
                <c:pt idx="5">
                  <c:v>2423.2959109577191</c:v>
                </c:pt>
                <c:pt idx="6">
                  <c:v>2457.7370057009366</c:v>
                </c:pt>
                <c:pt idx="7">
                  <c:v>2490.9560146032422</c:v>
                </c:pt>
                <c:pt idx="8">
                  <c:v>2525.5926430810055</c:v>
                </c:pt>
                <c:pt idx="9">
                  <c:v>2566.7307682324217</c:v>
                </c:pt>
                <c:pt idx="10">
                  <c:v>2607.4669629294931</c:v>
                </c:pt>
                <c:pt idx="11">
                  <c:v>2650.1584949720245</c:v>
                </c:pt>
                <c:pt idx="12">
                  <c:v>2694.2622150973871</c:v>
                </c:pt>
                <c:pt idx="13">
                  <c:v>2739.9084791286127</c:v>
                </c:pt>
                <c:pt idx="14">
                  <c:v>2794.7176712203664</c:v>
                </c:pt>
                <c:pt idx="15">
                  <c:v>2846.9523358072647</c:v>
                </c:pt>
                <c:pt idx="16">
                  <c:v>2904.9661085485213</c:v>
                </c:pt>
                <c:pt idx="17">
                  <c:v>2966.9991858332214</c:v>
                </c:pt>
                <c:pt idx="18">
                  <c:v>3033.3014163221746</c:v>
                </c:pt>
                <c:pt idx="19">
                  <c:v>3101.5644156492149</c:v>
                </c:pt>
                <c:pt idx="20">
                  <c:v>3172.7332635313132</c:v>
                </c:pt>
                <c:pt idx="21">
                  <c:v>3244.988409938665</c:v>
                </c:pt>
                <c:pt idx="22">
                  <c:v>3320.2145828125908</c:v>
                </c:pt>
                <c:pt idx="23">
                  <c:v>3400.0466614335983</c:v>
                </c:pt>
                <c:pt idx="24">
                  <c:v>3483.1647930935037</c:v>
                </c:pt>
                <c:pt idx="25">
                  <c:v>3569.829689438367</c:v>
                </c:pt>
                <c:pt idx="26">
                  <c:v>3659.8240907631371</c:v>
                </c:pt>
                <c:pt idx="27">
                  <c:v>3753.6313999115555</c:v>
                </c:pt>
                <c:pt idx="28">
                  <c:v>3853.2612691553395</c:v>
                </c:pt>
                <c:pt idx="29">
                  <c:v>3957.8175022111564</c:v>
                </c:pt>
                <c:pt idx="30">
                  <c:v>4067.3652769905207</c:v>
                </c:pt>
                <c:pt idx="31">
                  <c:v>4178.1731580591822</c:v>
                </c:pt>
                <c:pt idx="32">
                  <c:v>4294.4451207098782</c:v>
                </c:pt>
                <c:pt idx="33">
                  <c:v>4416.6156843527096</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55436.163761568474</c:v>
                </c:pt>
                <c:pt idx="4">
                  <c:v>44485.810425950018</c:v>
                </c:pt>
                <c:pt idx="5">
                  <c:v>37102.569536250499</c:v>
                </c:pt>
                <c:pt idx="6">
                  <c:v>35001.710950493005</c:v>
                </c:pt>
                <c:pt idx="7">
                  <c:v>32706.974601156599</c:v>
                </c:pt>
                <c:pt idx="8">
                  <c:v>29904.349337096308</c:v>
                </c:pt>
                <c:pt idx="9">
                  <c:v>28144.21256929536</c:v>
                </c:pt>
                <c:pt idx="10">
                  <c:v>26435.386684551708</c:v>
                </c:pt>
                <c:pt idx="11">
                  <c:v>24777.87168286536</c:v>
                </c:pt>
                <c:pt idx="12">
                  <c:v>23171.667564236312</c:v>
                </c:pt>
                <c:pt idx="13">
                  <c:v>21616.774328664567</c:v>
                </c:pt>
                <c:pt idx="14">
                  <c:v>21507.858419631099</c:v>
                </c:pt>
                <c:pt idx="15">
                  <c:v>21398.942510597622</c:v>
                </c:pt>
                <c:pt idx="16">
                  <c:v>21290.026601564157</c:v>
                </c:pt>
                <c:pt idx="17">
                  <c:v>21181.110692530685</c:v>
                </c:pt>
                <c:pt idx="18">
                  <c:v>21072.194783497216</c:v>
                </c:pt>
                <c:pt idx="19">
                  <c:v>19371.237482179007</c:v>
                </c:pt>
                <c:pt idx="20">
                  <c:v>17670.280180860791</c:v>
                </c:pt>
                <c:pt idx="21">
                  <c:v>15969.32287954258</c:v>
                </c:pt>
                <c:pt idx="22">
                  <c:v>14268.365578224364</c:v>
                </c:pt>
                <c:pt idx="23">
                  <c:v>13687.941669523079</c:v>
                </c:pt>
                <c:pt idx="24">
                  <c:v>13687.941669523083</c:v>
                </c:pt>
                <c:pt idx="25">
                  <c:v>13687.941669523083</c:v>
                </c:pt>
                <c:pt idx="26">
                  <c:v>13687.941669523079</c:v>
                </c:pt>
                <c:pt idx="27">
                  <c:v>13687.941669523076</c:v>
                </c:pt>
                <c:pt idx="28">
                  <c:v>13687.941669523078</c:v>
                </c:pt>
                <c:pt idx="29">
                  <c:v>13687.941669523087</c:v>
                </c:pt>
                <c:pt idx="30">
                  <c:v>13687.941669523076</c:v>
                </c:pt>
                <c:pt idx="31">
                  <c:v>13687.941669523083</c:v>
                </c:pt>
                <c:pt idx="32">
                  <c:v>13687.941669523083</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7428.192334688978</c:v>
                </c:pt>
                <c:pt idx="2">
                  <c:v>8723.5671246015063</c:v>
                </c:pt>
                <c:pt idx="3">
                  <c:v>9483.9194914905984</c:v>
                </c:pt>
                <c:pt idx="4">
                  <c:v>10743.028570395385</c:v>
                </c:pt>
                <c:pt idx="5">
                  <c:v>11762.411300432748</c:v>
                </c:pt>
                <c:pt idx="6">
                  <c:v>12766.377783194815</c:v>
                </c:pt>
                <c:pt idx="7">
                  <c:v>13625.94506123162</c:v>
                </c:pt>
                <c:pt idx="8">
                  <c:v>14193.799436497282</c:v>
                </c:pt>
                <c:pt idx="9">
                  <c:v>15041.40590765981</c:v>
                </c:pt>
                <c:pt idx="10">
                  <c:v>15836.989254075068</c:v>
                </c:pt>
                <c:pt idx="11">
                  <c:v>16584.72667700579</c:v>
                </c:pt>
                <c:pt idx="12">
                  <c:v>17283.655687681759</c:v>
                </c:pt>
                <c:pt idx="13">
                  <c:v>17934.007283407827</c:v>
                </c:pt>
                <c:pt idx="14">
                  <c:v>17958.521419187695</c:v>
                </c:pt>
                <c:pt idx="15">
                  <c:v>17978.473358196748</c:v>
                </c:pt>
                <c:pt idx="16">
                  <c:v>18008.666177720872</c:v>
                </c:pt>
                <c:pt idx="17">
                  <c:v>18045.981414144564</c:v>
                </c:pt>
                <c:pt idx="18">
                  <c:v>18090.861812302133</c:v>
                </c:pt>
                <c:pt idx="19">
                  <c:v>17077.855866730344</c:v>
                </c:pt>
                <c:pt idx="20">
                  <c:v>16069.999236079195</c:v>
                </c:pt>
                <c:pt idx="21">
                  <c:v>15064.067582968466</c:v>
                </c:pt>
                <c:pt idx="22">
                  <c:v>14063.400743430801</c:v>
                </c:pt>
                <c:pt idx="23">
                  <c:v>13070.895808664543</c:v>
                </c:pt>
                <c:pt idx="24">
                  <c:v>12705.793090131663</c:v>
                </c:pt>
                <c:pt idx="25">
                  <c:v>12346.975423268272</c:v>
                </c:pt>
                <c:pt idx="26">
                  <c:v>11994.057812566287</c:v>
                </c:pt>
                <c:pt idx="27">
                  <c:v>11647.896873031197</c:v>
                </c:pt>
                <c:pt idx="28">
                  <c:v>11312.053813112787</c:v>
                </c:pt>
                <c:pt idx="29">
                  <c:v>10984.940526340208</c:v>
                </c:pt>
                <c:pt idx="30">
                  <c:v>10666.672511365883</c:v>
                </c:pt>
                <c:pt idx="31">
                  <c:v>10350.637470338455</c:v>
                </c:pt>
                <c:pt idx="32">
                  <c:v>10044.285066339367</c:v>
                </c:pt>
                <c:pt idx="33">
                  <c:v>9748.385290384791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1787.3285316252955</c:v>
                </c:pt>
                <c:pt idx="2">
                  <c:v>1877.2124191793723</c:v>
                </c:pt>
                <c:pt idx="3">
                  <c:v>1902.4705235478471</c:v>
                </c:pt>
                <c:pt idx="4">
                  <c:v>2238.7918742794518</c:v>
                </c:pt>
                <c:pt idx="5">
                  <c:v>2423.2959109577191</c:v>
                </c:pt>
                <c:pt idx="6">
                  <c:v>2457.7370057009366</c:v>
                </c:pt>
                <c:pt idx="7">
                  <c:v>2490.9560146032422</c:v>
                </c:pt>
                <c:pt idx="8">
                  <c:v>2525.5926430810055</c:v>
                </c:pt>
                <c:pt idx="9">
                  <c:v>2566.7307682324217</c:v>
                </c:pt>
                <c:pt idx="10">
                  <c:v>2607.4669629294931</c:v>
                </c:pt>
                <c:pt idx="11">
                  <c:v>2650.1584949720245</c:v>
                </c:pt>
                <c:pt idx="12">
                  <c:v>2694.2622150973871</c:v>
                </c:pt>
                <c:pt idx="13">
                  <c:v>2739.9084791286127</c:v>
                </c:pt>
                <c:pt idx="14">
                  <c:v>2794.7176712203664</c:v>
                </c:pt>
                <c:pt idx="15">
                  <c:v>2846.9523358072647</c:v>
                </c:pt>
                <c:pt idx="16">
                  <c:v>2904.9661085485213</c:v>
                </c:pt>
                <c:pt idx="17">
                  <c:v>2966.9991858332214</c:v>
                </c:pt>
                <c:pt idx="18">
                  <c:v>3033.3014163221746</c:v>
                </c:pt>
                <c:pt idx="19">
                  <c:v>3101.5644156492149</c:v>
                </c:pt>
                <c:pt idx="20">
                  <c:v>3172.7332635313132</c:v>
                </c:pt>
                <c:pt idx="21">
                  <c:v>3244.988409938665</c:v>
                </c:pt>
                <c:pt idx="22">
                  <c:v>3320.2145828125908</c:v>
                </c:pt>
                <c:pt idx="23">
                  <c:v>3400.0466614335983</c:v>
                </c:pt>
                <c:pt idx="24">
                  <c:v>3483.1647930935037</c:v>
                </c:pt>
                <c:pt idx="25">
                  <c:v>3569.829689438367</c:v>
                </c:pt>
                <c:pt idx="26">
                  <c:v>3659.8240907631371</c:v>
                </c:pt>
                <c:pt idx="27">
                  <c:v>3753.6313999115555</c:v>
                </c:pt>
                <c:pt idx="28">
                  <c:v>3853.2612691553395</c:v>
                </c:pt>
                <c:pt idx="29">
                  <c:v>3957.8175022111564</c:v>
                </c:pt>
                <c:pt idx="30">
                  <c:v>4067.3652769905207</c:v>
                </c:pt>
                <c:pt idx="31">
                  <c:v>4178.1731580591822</c:v>
                </c:pt>
                <c:pt idx="32">
                  <c:v>4294.4451207098782</c:v>
                </c:pt>
                <c:pt idx="33">
                  <c:v>4416.6156843527096</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11144.041726220405</c:v>
                </c:pt>
                <c:pt idx="1">
                  <c:v>10565.415379487051</c:v>
                </c:pt>
                <c:pt idx="2">
                  <c:v>10016.832750944935</c:v>
                </c:pt>
                <c:pt idx="3">
                  <c:v>9496.7338960670804</c:v>
                </c:pt>
                <c:pt idx="4">
                  <c:v>9003.6398665238321</c:v>
                </c:pt>
                <c:pt idx="5">
                  <c:v>8536.1485046589823</c:v>
                </c:pt>
                <c:pt idx="6">
                  <c:v>8092.9304563271235</c:v>
                </c:pt>
                <c:pt idx="7">
                  <c:v>7672.7253907543954</c:v>
                </c:pt>
                <c:pt idx="8">
                  <c:v>7274.338416673475</c:v>
                </c:pt>
                <c:pt idx="9">
                  <c:v>6896.6366845417324</c:v>
                </c:pt>
                <c:pt idx="10">
                  <c:v>6538.546165180669</c:v>
                </c:pt>
                <c:pt idx="11">
                  <c:v>6199.0485956764105</c:v>
                </c:pt>
                <c:pt idx="12">
                  <c:v>5877.1785838566229</c:v>
                </c:pt>
                <c:pt idx="13">
                  <c:v>5572.0208631102023</c:v>
                </c:pt>
                <c:pt idx="14">
                  <c:v>5308.2077070098494</c:v>
                </c:pt>
                <c:pt idx="15">
                  <c:v>5044.3945509094965</c:v>
                </c:pt>
                <c:pt idx="16">
                  <c:v>4780.5813948091436</c:v>
                </c:pt>
                <c:pt idx="17">
                  <c:v>4516.7682387087907</c:v>
                </c:pt>
                <c:pt idx="18">
                  <c:v>4252.9550826084378</c:v>
                </c:pt>
                <c:pt idx="19">
                  <c:v>3989.1419265080849</c:v>
                </c:pt>
                <c:pt idx="20">
                  <c:v>3900.4146041771414</c:v>
                </c:pt>
                <c:pt idx="21">
                  <c:v>3733.2539782838353</c:v>
                </c:pt>
                <c:pt idx="22">
                  <c:v>3566.0933523905292</c:v>
                </c:pt>
                <c:pt idx="23">
                  <c:v>3398.932726497223</c:v>
                </c:pt>
                <c:pt idx="24">
                  <c:v>3231.7721006039169</c:v>
                </c:pt>
                <c:pt idx="25">
                  <c:v>3064.6114747106108</c:v>
                </c:pt>
                <c:pt idx="26">
                  <c:v>2897.4508488173046</c:v>
                </c:pt>
                <c:pt idx="27">
                  <c:v>2730.2902229239985</c:v>
                </c:pt>
                <c:pt idx="28">
                  <c:v>2563.1295970306924</c:v>
                </c:pt>
                <c:pt idx="29">
                  <c:v>2395.9689711373862</c:v>
                </c:pt>
                <c:pt idx="30">
                  <c:v>2228.8083452440806</c:v>
                </c:pt>
                <c:pt idx="31">
                  <c:v>2228.8083452440806</c:v>
                </c:pt>
                <c:pt idx="32">
                  <c:v>2228.8083452440806</c:v>
                </c:pt>
                <c:pt idx="33">
                  <c:v>2228.8083452440806</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6573.322273428581</c:v>
                </c:pt>
                <c:pt idx="1">
                  <c:v>6679.6174603984991</c:v>
                </c:pt>
                <c:pt idx="2">
                  <c:v>6787.6570979204407</c:v>
                </c:pt>
                <c:pt idx="3">
                  <c:v>6897.4411859944039</c:v>
                </c:pt>
                <c:pt idx="4">
                  <c:v>6976.8718344631716</c:v>
                </c:pt>
                <c:pt idx="5">
                  <c:v>7057.1165598562184</c:v>
                </c:pt>
                <c:pt idx="6">
                  <c:v>7138.4079555804774</c:v>
                </c:pt>
                <c:pt idx="7">
                  <c:v>7220.6297249324816</c:v>
                </c:pt>
                <c:pt idx="8">
                  <c:v>7303.7818679122311</c:v>
                </c:pt>
                <c:pt idx="9">
                  <c:v>7375.6532306555682</c:v>
                </c:pt>
                <c:pt idx="10">
                  <c:v>7448.3386703231827</c:v>
                </c:pt>
                <c:pt idx="11">
                  <c:v>7521.6055935081367</c:v>
                </c:pt>
                <c:pt idx="12">
                  <c:v>7595.686593617369</c:v>
                </c:pt>
                <c:pt idx="13">
                  <c:v>7670.4653739474097</c:v>
                </c:pt>
                <c:pt idx="14">
                  <c:v>7735.9404179999965</c:v>
                </c:pt>
                <c:pt idx="15">
                  <c:v>7801.9969455699247</c:v>
                </c:pt>
                <c:pt idx="16">
                  <c:v>7868.5186599537255</c:v>
                </c:pt>
                <c:pt idx="17">
                  <c:v>7935.7381545583312</c:v>
                </c:pt>
                <c:pt idx="18">
                  <c:v>8003.4228359768158</c:v>
                </c:pt>
                <c:pt idx="19">
                  <c:v>8062.0363745247778</c:v>
                </c:pt>
                <c:pt idx="20">
                  <c:v>8120.9988031831463</c:v>
                </c:pt>
                <c:pt idx="21">
                  <c:v>8180.5427153588562</c:v>
                </c:pt>
                <c:pt idx="22">
                  <c:v>8240.4355176449699</c:v>
                </c:pt>
                <c:pt idx="23">
                  <c:v>8300.6772100414873</c:v>
                </c:pt>
                <c:pt idx="24">
                  <c:v>8352.3129463813602</c:v>
                </c:pt>
                <c:pt idx="25">
                  <c:v>8404.1812761281708</c:v>
                </c:pt>
                <c:pt idx="26">
                  <c:v>8456.3984959853842</c:v>
                </c:pt>
                <c:pt idx="27">
                  <c:v>8508.8483092495335</c:v>
                </c:pt>
                <c:pt idx="28">
                  <c:v>8561.7633093275581</c:v>
                </c:pt>
                <c:pt idx="29">
                  <c:v>8605.3745731281251</c:v>
                </c:pt>
                <c:pt idx="30">
                  <c:v>8649.3347270390987</c:v>
                </c:pt>
                <c:pt idx="31">
                  <c:v>8693.5274743570062</c:v>
                </c:pt>
                <c:pt idx="32">
                  <c:v>8737.8365183783844</c:v>
                </c:pt>
                <c:pt idx="33">
                  <c:v>8782.4944525101655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3350.003081988611</c:v>
                </c:pt>
                <c:pt idx="1">
                  <c:v>3707.5237846120858</c:v>
                </c:pt>
                <c:pt idx="2">
                  <c:v>4010.8726104984025</c:v>
                </c:pt>
                <c:pt idx="3">
                  <c:v>4314.2214363847197</c:v>
                </c:pt>
                <c:pt idx="4">
                  <c:v>4617.5702622710369</c:v>
                </c:pt>
                <c:pt idx="5">
                  <c:v>4920.9190881573541</c:v>
                </c:pt>
                <c:pt idx="6">
                  <c:v>5224.2679140436703</c:v>
                </c:pt>
                <c:pt idx="7">
                  <c:v>5527.6167399299875</c:v>
                </c:pt>
                <c:pt idx="8">
                  <c:v>5830.9655658163047</c:v>
                </c:pt>
                <c:pt idx="9">
                  <c:v>6134.3143917026209</c:v>
                </c:pt>
                <c:pt idx="10">
                  <c:v>6437.663217588939</c:v>
                </c:pt>
                <c:pt idx="11">
                  <c:v>6437.663217588939</c:v>
                </c:pt>
                <c:pt idx="12">
                  <c:v>6437.663217588939</c:v>
                </c:pt>
                <c:pt idx="13">
                  <c:v>6437.663217588939</c:v>
                </c:pt>
                <c:pt idx="14">
                  <c:v>6437.663217588939</c:v>
                </c:pt>
                <c:pt idx="15">
                  <c:v>6437.663217588939</c:v>
                </c:pt>
                <c:pt idx="16">
                  <c:v>6437.663217588939</c:v>
                </c:pt>
                <c:pt idx="17">
                  <c:v>6437.663217588939</c:v>
                </c:pt>
                <c:pt idx="18">
                  <c:v>6437.663217588939</c:v>
                </c:pt>
                <c:pt idx="19">
                  <c:v>6437.663217588939</c:v>
                </c:pt>
                <c:pt idx="20">
                  <c:v>6437.663217588939</c:v>
                </c:pt>
                <c:pt idx="21">
                  <c:v>6437.663217588939</c:v>
                </c:pt>
                <c:pt idx="22">
                  <c:v>6437.663217588939</c:v>
                </c:pt>
                <c:pt idx="23">
                  <c:v>6437.663217588939</c:v>
                </c:pt>
                <c:pt idx="24">
                  <c:v>6437.663217588939</c:v>
                </c:pt>
                <c:pt idx="25">
                  <c:v>6437.663217588939</c:v>
                </c:pt>
                <c:pt idx="26">
                  <c:v>6437.663217588939</c:v>
                </c:pt>
                <c:pt idx="27">
                  <c:v>6437.663217588939</c:v>
                </c:pt>
                <c:pt idx="28">
                  <c:v>6437.663217588939</c:v>
                </c:pt>
                <c:pt idx="29">
                  <c:v>6437.663217588939</c:v>
                </c:pt>
                <c:pt idx="30">
                  <c:v>6437.663217588939</c:v>
                </c:pt>
                <c:pt idx="31">
                  <c:v>6437.663217588939</c:v>
                </c:pt>
                <c:pt idx="32">
                  <c:v>6437.663217588939</c:v>
                </c:pt>
                <c:pt idx="33">
                  <c:v>6437.663217588939</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2912.8337723127793</c:v>
                </c:pt>
                <c:pt idx="1">
                  <c:v>2837.6046668324898</c:v>
                </c:pt>
                <c:pt idx="2">
                  <c:v>2763.9239905016448</c:v>
                </c:pt>
                <c:pt idx="3">
                  <c:v>2691.7441696210262</c:v>
                </c:pt>
                <c:pt idx="4">
                  <c:v>2622.3928443671271</c:v>
                </c:pt>
                <c:pt idx="5">
                  <c:v>2555.0996647276816</c:v>
                </c:pt>
                <c:pt idx="6">
                  <c:v>2489.7852975302226</c:v>
                </c:pt>
                <c:pt idx="7">
                  <c:v>2426.3891680312458</c:v>
                </c:pt>
                <c:pt idx="8">
                  <c:v>2364.8481873668366</c:v>
                </c:pt>
                <c:pt idx="9">
                  <c:v>2306.1658652325914</c:v>
                </c:pt>
                <c:pt idx="10">
                  <c:v>2249.4241191504411</c:v>
                </c:pt>
                <c:pt idx="11">
                  <c:v>2126.0802668104952</c:v>
                </c:pt>
                <c:pt idx="12">
                  <c:v>2009.5710454743091</c:v>
                </c:pt>
                <c:pt idx="13">
                  <c:v>1899.522486818204</c:v>
                </c:pt>
                <c:pt idx="14">
                  <c:v>1804.9398130236837</c:v>
                </c:pt>
                <c:pt idx="15">
                  <c:v>1710.877374634556</c:v>
                </c:pt>
                <c:pt idx="16">
                  <c:v>1617.3324533754183</c:v>
                </c:pt>
                <c:pt idx="17">
                  <c:v>1524.2808226301854</c:v>
                </c:pt>
                <c:pt idx="18">
                  <c:v>1431.7265721729464</c:v>
                </c:pt>
                <c:pt idx="19">
                  <c:v>1340.1103549915001</c:v>
                </c:pt>
                <c:pt idx="20">
                  <c:v>1307.5952274188107</c:v>
                </c:pt>
                <c:pt idx="21">
                  <c:v>1248.9863521830346</c:v>
                </c:pt>
                <c:pt idx="22">
                  <c:v>1190.6388652344556</c:v>
                </c:pt>
                <c:pt idx="23">
                  <c:v>1132.547909394031</c:v>
                </c:pt>
                <c:pt idx="24">
                  <c:v>1075.0225272879522</c:v>
                </c:pt>
                <c:pt idx="25">
                  <c:v>1017.7054926234995</c:v>
                </c:pt>
                <c:pt idx="26">
                  <c:v>960.58982313021056</c:v>
                </c:pt>
                <c:pt idx="27">
                  <c:v>903.67620418886224</c:v>
                </c:pt>
                <c:pt idx="28">
                  <c:v>846.95522427722813</c:v>
                </c:pt>
                <c:pt idx="29">
                  <c:v>790.66035263034064</c:v>
                </c:pt>
                <c:pt idx="30">
                  <c:v>734.51799477547058</c:v>
                </c:pt>
                <c:pt idx="31">
                  <c:v>733.54538079213319</c:v>
                </c:pt>
                <c:pt idx="32">
                  <c:v>732.58262785191232</c:v>
                </c:pt>
                <c:pt idx="33">
                  <c:v>731.62463871340378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64886.148572305072</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26659.179724825448</c:v>
                </c:pt>
                <c:pt idx="21">
                  <c:v>25725.071262263602</c:v>
                </c:pt>
                <c:pt idx="22">
                  <c:v>24823.692937269236</c:v>
                </c:pt>
                <c:pt idx="23">
                  <c:v>23953.897921665386</c:v>
                </c:pt>
                <c:pt idx="24">
                  <c:v>22650.218174049245</c:v>
                </c:pt>
                <c:pt idx="25">
                  <c:v>21417.490590039306</c:v>
                </c:pt>
                <c:pt idx="26">
                  <c:v>20251.853631148377</c:v>
                </c:pt>
                <c:pt idx="27">
                  <c:v>19149.655921324487</c:v>
                </c:pt>
                <c:pt idx="28">
                  <c:v>18107.444808958153</c:v>
                </c:pt>
                <c:pt idx="29">
                  <c:v>17121.955551397081</c:v>
                </c:pt>
                <c:pt idx="30">
                  <c:v>16190.101088088575</c:v>
                </c:pt>
                <c:pt idx="31">
                  <c:v>15308.962370313993</c:v>
                </c:pt>
                <c:pt idx="32">
                  <c:v>14475.779217222876</c:v>
                </c:pt>
                <c:pt idx="33">
                  <c:v>13687.941669523076</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6414.9921583644846</c:v>
                </c:pt>
                <c:pt idx="2">
                  <c:v>6737.9016952250222</c:v>
                </c:pt>
                <c:pt idx="3">
                  <c:v>6682.5534785328</c:v>
                </c:pt>
                <c:pt idx="4">
                  <c:v>7087.4858706050427</c:v>
                </c:pt>
                <c:pt idx="5">
                  <c:v>7407.1433432915073</c:v>
                </c:pt>
                <c:pt idx="6">
                  <c:v>7767.2209095358021</c:v>
                </c:pt>
                <c:pt idx="7">
                  <c:v>8102.8389403549436</c:v>
                </c:pt>
                <c:pt idx="8">
                  <c:v>8348.8156668076826</c:v>
                </c:pt>
                <c:pt idx="9">
                  <c:v>8778.5488461171335</c:v>
                </c:pt>
                <c:pt idx="10">
                  <c:v>9228.4163742720357</c:v>
                </c:pt>
                <c:pt idx="11">
                  <c:v>9703.3387348817432</c:v>
                </c:pt>
                <c:pt idx="12">
                  <c:v>10203.050075873076</c:v>
                </c:pt>
                <c:pt idx="13">
                  <c:v>10728.415840519639</c:v>
                </c:pt>
                <c:pt idx="14">
                  <c:v>10789.23527931066</c:v>
                </c:pt>
                <c:pt idx="15">
                  <c:v>10845.492521330872</c:v>
                </c:pt>
                <c:pt idx="16">
                  <c:v>10911.990643866153</c:v>
                </c:pt>
                <c:pt idx="17">
                  <c:v>10985.611183301004</c:v>
                </c:pt>
                <c:pt idx="18">
                  <c:v>11066.796884469728</c:v>
                </c:pt>
                <c:pt idx="19">
                  <c:v>10620.77670600401</c:v>
                </c:pt>
                <c:pt idx="20">
                  <c:v>10179.905842458929</c:v>
                </c:pt>
                <c:pt idx="21">
                  <c:v>9740.9599564542732</c:v>
                </c:pt>
                <c:pt idx="22">
                  <c:v>9307.2788840226804</c:v>
                </c:pt>
                <c:pt idx="23">
                  <c:v>8881.7597163624923</c:v>
                </c:pt>
                <c:pt idx="24">
                  <c:v>8772.8531853488894</c:v>
                </c:pt>
                <c:pt idx="25">
                  <c:v>8670.2317060047753</c:v>
                </c:pt>
                <c:pt idx="26">
                  <c:v>8573.5102828220661</c:v>
                </c:pt>
                <c:pt idx="27">
                  <c:v>8483.5455308062519</c:v>
                </c:pt>
                <c:pt idx="28">
                  <c:v>8403.8986584071172</c:v>
                </c:pt>
                <c:pt idx="29">
                  <c:v>8332.9815591538136</c:v>
                </c:pt>
                <c:pt idx="30">
                  <c:v>8270.9097316987645</c:v>
                </c:pt>
                <c:pt idx="31">
                  <c:v>8211.0708781906142</c:v>
                </c:pt>
                <c:pt idx="32">
                  <c:v>8160.9146617108026</c:v>
                </c:pt>
                <c:pt idx="33">
                  <c:v>8121.2110732755027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1787.3285316252955</c:v>
                </c:pt>
                <c:pt idx="2">
                  <c:v>1877.2124191793723</c:v>
                </c:pt>
                <c:pt idx="3">
                  <c:v>1827.278823547847</c:v>
                </c:pt>
                <c:pt idx="4">
                  <c:v>1938.0250742794519</c:v>
                </c:pt>
                <c:pt idx="5">
                  <c:v>2047.3374109577192</c:v>
                </c:pt>
                <c:pt idx="6">
                  <c:v>2156.9702057009367</c:v>
                </c:pt>
                <c:pt idx="7">
                  <c:v>2265.3809146032418</c:v>
                </c:pt>
                <c:pt idx="8">
                  <c:v>2375.2092430810053</c:v>
                </c:pt>
                <c:pt idx="9">
                  <c:v>2491.5390682324214</c:v>
                </c:pt>
                <c:pt idx="10">
                  <c:v>2607.4669629294931</c:v>
                </c:pt>
                <c:pt idx="11">
                  <c:v>2650.1584949720245</c:v>
                </c:pt>
                <c:pt idx="12">
                  <c:v>2694.2622150973871</c:v>
                </c:pt>
                <c:pt idx="13">
                  <c:v>2739.9084791286127</c:v>
                </c:pt>
                <c:pt idx="14">
                  <c:v>2794.7176712203664</c:v>
                </c:pt>
                <c:pt idx="15">
                  <c:v>2846.9523358072647</c:v>
                </c:pt>
                <c:pt idx="16">
                  <c:v>2904.9661085485213</c:v>
                </c:pt>
                <c:pt idx="17">
                  <c:v>2966.9991858332214</c:v>
                </c:pt>
                <c:pt idx="18">
                  <c:v>3033.3014163221746</c:v>
                </c:pt>
                <c:pt idx="19">
                  <c:v>3101.5644156492149</c:v>
                </c:pt>
                <c:pt idx="20">
                  <c:v>3172.7332635313132</c:v>
                </c:pt>
                <c:pt idx="21">
                  <c:v>3244.988409938665</c:v>
                </c:pt>
                <c:pt idx="22">
                  <c:v>3320.2145828125908</c:v>
                </c:pt>
                <c:pt idx="23">
                  <c:v>3400.0466614335983</c:v>
                </c:pt>
                <c:pt idx="24">
                  <c:v>3483.1647930935037</c:v>
                </c:pt>
                <c:pt idx="25">
                  <c:v>3569.829689438367</c:v>
                </c:pt>
                <c:pt idx="26">
                  <c:v>3659.8240907631371</c:v>
                </c:pt>
                <c:pt idx="27">
                  <c:v>3753.6313999115555</c:v>
                </c:pt>
                <c:pt idx="28">
                  <c:v>3853.2612691553395</c:v>
                </c:pt>
                <c:pt idx="29">
                  <c:v>3957.8175022111564</c:v>
                </c:pt>
                <c:pt idx="30">
                  <c:v>4067.3652769905207</c:v>
                </c:pt>
                <c:pt idx="31">
                  <c:v>4178.1731580591822</c:v>
                </c:pt>
                <c:pt idx="32">
                  <c:v>4294.4451207098782</c:v>
                </c:pt>
                <c:pt idx="33">
                  <c:v>4416.6156843527096</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64886.148572305072</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26659.179724825448</c:v>
                </c:pt>
                <c:pt idx="21">
                  <c:v>25725.071262263602</c:v>
                </c:pt>
                <c:pt idx="22">
                  <c:v>24823.692937269236</c:v>
                </c:pt>
                <c:pt idx="23">
                  <c:v>23953.897921665386</c:v>
                </c:pt>
                <c:pt idx="24">
                  <c:v>22650.218174049245</c:v>
                </c:pt>
                <c:pt idx="25">
                  <c:v>21417.490590039306</c:v>
                </c:pt>
                <c:pt idx="26">
                  <c:v>20251.853631148377</c:v>
                </c:pt>
                <c:pt idx="27">
                  <c:v>19149.655921324487</c:v>
                </c:pt>
                <c:pt idx="28">
                  <c:v>18107.444808958153</c:v>
                </c:pt>
                <c:pt idx="29">
                  <c:v>17121.955551397081</c:v>
                </c:pt>
                <c:pt idx="30">
                  <c:v>16190.101088088575</c:v>
                </c:pt>
                <c:pt idx="31">
                  <c:v>15308.962370313993</c:v>
                </c:pt>
                <c:pt idx="32">
                  <c:v>14475.779217222876</c:v>
                </c:pt>
                <c:pt idx="33">
                  <c:v>13687.941669523076</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6414.9921583644846</c:v>
                </c:pt>
                <c:pt idx="2">
                  <c:v>6737.9016952250222</c:v>
                </c:pt>
                <c:pt idx="3">
                  <c:v>6682.5534785328</c:v>
                </c:pt>
                <c:pt idx="4">
                  <c:v>7087.4858706050427</c:v>
                </c:pt>
                <c:pt idx="5">
                  <c:v>7407.1433432915073</c:v>
                </c:pt>
                <c:pt idx="6">
                  <c:v>7767.2209095358021</c:v>
                </c:pt>
                <c:pt idx="7">
                  <c:v>8102.8389403549436</c:v>
                </c:pt>
                <c:pt idx="8">
                  <c:v>8348.8156668076826</c:v>
                </c:pt>
                <c:pt idx="9">
                  <c:v>8778.5488461171335</c:v>
                </c:pt>
                <c:pt idx="10">
                  <c:v>9228.4163742720357</c:v>
                </c:pt>
                <c:pt idx="11">
                  <c:v>9703.3387348817432</c:v>
                </c:pt>
                <c:pt idx="12">
                  <c:v>10203.050075873076</c:v>
                </c:pt>
                <c:pt idx="13">
                  <c:v>10728.415840519639</c:v>
                </c:pt>
                <c:pt idx="14">
                  <c:v>10789.23527931066</c:v>
                </c:pt>
                <c:pt idx="15">
                  <c:v>10845.492521330872</c:v>
                </c:pt>
                <c:pt idx="16">
                  <c:v>10911.990643866153</c:v>
                </c:pt>
                <c:pt idx="17">
                  <c:v>10985.611183301004</c:v>
                </c:pt>
                <c:pt idx="18">
                  <c:v>11066.796884469728</c:v>
                </c:pt>
                <c:pt idx="19">
                  <c:v>10620.77670600401</c:v>
                </c:pt>
                <c:pt idx="20">
                  <c:v>10179.905842458929</c:v>
                </c:pt>
                <c:pt idx="21">
                  <c:v>9740.9599564542732</c:v>
                </c:pt>
                <c:pt idx="22">
                  <c:v>9307.2788840226804</c:v>
                </c:pt>
                <c:pt idx="23">
                  <c:v>8881.7597163624923</c:v>
                </c:pt>
                <c:pt idx="24">
                  <c:v>8772.8531853488894</c:v>
                </c:pt>
                <c:pt idx="25">
                  <c:v>8670.2317060047753</c:v>
                </c:pt>
                <c:pt idx="26">
                  <c:v>8573.5102828220661</c:v>
                </c:pt>
                <c:pt idx="27">
                  <c:v>8483.5455308062519</c:v>
                </c:pt>
                <c:pt idx="28">
                  <c:v>8403.8986584071172</c:v>
                </c:pt>
                <c:pt idx="29">
                  <c:v>8332.9815591538136</c:v>
                </c:pt>
                <c:pt idx="30">
                  <c:v>8270.9097316987645</c:v>
                </c:pt>
                <c:pt idx="31">
                  <c:v>8211.0708781906142</c:v>
                </c:pt>
                <c:pt idx="32">
                  <c:v>8160.9146617108026</c:v>
                </c:pt>
                <c:pt idx="33">
                  <c:v>8121.2110732755027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1787.3285316252955</c:v>
                </c:pt>
                <c:pt idx="2">
                  <c:v>1877.2124191793723</c:v>
                </c:pt>
                <c:pt idx="3">
                  <c:v>1827.278823547847</c:v>
                </c:pt>
                <c:pt idx="4">
                  <c:v>1938.0250742794519</c:v>
                </c:pt>
                <c:pt idx="5">
                  <c:v>2047.3374109577192</c:v>
                </c:pt>
                <c:pt idx="6">
                  <c:v>2156.9702057009367</c:v>
                </c:pt>
                <c:pt idx="7">
                  <c:v>2265.3809146032418</c:v>
                </c:pt>
                <c:pt idx="8">
                  <c:v>2375.2092430810053</c:v>
                </c:pt>
                <c:pt idx="9">
                  <c:v>2491.5390682324214</c:v>
                </c:pt>
                <c:pt idx="10">
                  <c:v>2607.4669629294931</c:v>
                </c:pt>
                <c:pt idx="11">
                  <c:v>2650.1584949720245</c:v>
                </c:pt>
                <c:pt idx="12">
                  <c:v>2694.2622150973871</c:v>
                </c:pt>
                <c:pt idx="13">
                  <c:v>2739.9084791286127</c:v>
                </c:pt>
                <c:pt idx="14">
                  <c:v>2794.7176712203664</c:v>
                </c:pt>
                <c:pt idx="15">
                  <c:v>2846.9523358072647</c:v>
                </c:pt>
                <c:pt idx="16">
                  <c:v>2904.9661085485213</c:v>
                </c:pt>
                <c:pt idx="17">
                  <c:v>2966.9991858332214</c:v>
                </c:pt>
                <c:pt idx="18">
                  <c:v>3033.3014163221746</c:v>
                </c:pt>
                <c:pt idx="19">
                  <c:v>3101.5644156492149</c:v>
                </c:pt>
                <c:pt idx="20">
                  <c:v>3172.7332635313132</c:v>
                </c:pt>
                <c:pt idx="21">
                  <c:v>3244.988409938665</c:v>
                </c:pt>
                <c:pt idx="22">
                  <c:v>3320.2145828125908</c:v>
                </c:pt>
                <c:pt idx="23">
                  <c:v>3400.0466614335983</c:v>
                </c:pt>
                <c:pt idx="24">
                  <c:v>3483.1647930935037</c:v>
                </c:pt>
                <c:pt idx="25">
                  <c:v>3569.829689438367</c:v>
                </c:pt>
                <c:pt idx="26">
                  <c:v>3659.8240907631371</c:v>
                </c:pt>
                <c:pt idx="27">
                  <c:v>3753.6313999115555</c:v>
                </c:pt>
                <c:pt idx="28">
                  <c:v>3853.2612691553395</c:v>
                </c:pt>
                <c:pt idx="29">
                  <c:v>3957.8175022111564</c:v>
                </c:pt>
                <c:pt idx="30">
                  <c:v>4067.3652769905207</c:v>
                </c:pt>
                <c:pt idx="31">
                  <c:v>4178.1731580591822</c:v>
                </c:pt>
                <c:pt idx="32">
                  <c:v>4294.4451207098782</c:v>
                </c:pt>
                <c:pt idx="33">
                  <c:v>4416.6156843527096</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11144.041726220405</c:v>
                </c:pt>
                <c:pt idx="1">
                  <c:v>10475.39922264718</c:v>
                </c:pt>
                <c:pt idx="2">
                  <c:v>9918.1971363361608</c:v>
                </c:pt>
                <c:pt idx="3">
                  <c:v>9026.6737982385275</c:v>
                </c:pt>
                <c:pt idx="4">
                  <c:v>7243.6271220432636</c:v>
                </c:pt>
                <c:pt idx="5">
                  <c:v>5572.0208631102023</c:v>
                </c:pt>
                <c:pt idx="6">
                  <c:v>5237.69961132359</c:v>
                </c:pt>
                <c:pt idx="7">
                  <c:v>4903.3783595369778</c:v>
                </c:pt>
                <c:pt idx="8">
                  <c:v>4569.0571077503655</c:v>
                </c:pt>
                <c:pt idx="9">
                  <c:v>4234.7358559637532</c:v>
                </c:pt>
                <c:pt idx="10">
                  <c:v>3900.4146041771414</c:v>
                </c:pt>
                <c:pt idx="11">
                  <c:v>3566.0933523905292</c:v>
                </c:pt>
                <c:pt idx="12">
                  <c:v>3231.7721006039169</c:v>
                </c:pt>
                <c:pt idx="13">
                  <c:v>2897.4508488173046</c:v>
                </c:pt>
                <c:pt idx="14">
                  <c:v>2563.1295970306924</c:v>
                </c:pt>
                <c:pt idx="15">
                  <c:v>2228.8083452440806</c:v>
                </c:pt>
                <c:pt idx="16">
                  <c:v>2228.8083452440806</c:v>
                </c:pt>
                <c:pt idx="17">
                  <c:v>2228.8083452440806</c:v>
                </c:pt>
                <c:pt idx="18">
                  <c:v>2228.8083452440806</c:v>
                </c:pt>
                <c:pt idx="19">
                  <c:v>2228.8083452440806</c:v>
                </c:pt>
                <c:pt idx="20">
                  <c:v>2228.8083452440806</c:v>
                </c:pt>
                <c:pt idx="21">
                  <c:v>2228.8083452440806</c:v>
                </c:pt>
                <c:pt idx="22">
                  <c:v>2228.8083452440806</c:v>
                </c:pt>
                <c:pt idx="23">
                  <c:v>2228.8083452440806</c:v>
                </c:pt>
                <c:pt idx="24">
                  <c:v>2228.8083452440806</c:v>
                </c:pt>
                <c:pt idx="25">
                  <c:v>2228.8083452440806</c:v>
                </c:pt>
                <c:pt idx="26">
                  <c:v>2228.8083452440806</c:v>
                </c:pt>
                <c:pt idx="27">
                  <c:v>2228.8083452440806</c:v>
                </c:pt>
                <c:pt idx="28">
                  <c:v>2228.8083452440806</c:v>
                </c:pt>
                <c:pt idx="29">
                  <c:v>2228.8083452440806</c:v>
                </c:pt>
                <c:pt idx="30">
                  <c:v>2228.8083452440806</c:v>
                </c:pt>
                <c:pt idx="31">
                  <c:v>2228.8083452440806</c:v>
                </c:pt>
                <c:pt idx="32">
                  <c:v>2228.8083452440806</c:v>
                </c:pt>
                <c:pt idx="33">
                  <c:v>2228.8083452440806</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6573.322273428581</c:v>
                </c:pt>
                <c:pt idx="1">
                  <c:v>6782.3256466462362</c:v>
                </c:pt>
                <c:pt idx="2">
                  <c:v>6996.3959826042337</c:v>
                </c:pt>
                <c:pt idx="3">
                  <c:v>7215.6137511887273</c:v>
                </c:pt>
                <c:pt idx="4">
                  <c:v>7405.9873375883362</c:v>
                </c:pt>
                <c:pt idx="5">
                  <c:v>7599.6802967011581</c:v>
                </c:pt>
                <c:pt idx="6">
                  <c:v>7796.9842331839682</c:v>
                </c:pt>
                <c:pt idx="7">
                  <c:v>7997.818614727149</c:v>
                </c:pt>
                <c:pt idx="8">
                  <c:v>8202.226358603315</c:v>
                </c:pt>
                <c:pt idx="9">
                  <c:v>8396.3493606116863</c:v>
                </c:pt>
                <c:pt idx="10">
                  <c:v>8593.6218544624971</c:v>
                </c:pt>
                <c:pt idx="11">
                  <c:v>8793.8094585291183</c:v>
                </c:pt>
                <c:pt idx="12">
                  <c:v>8997.2145067864876</c:v>
                </c:pt>
                <c:pt idx="13">
                  <c:v>9203.7350082886751</c:v>
                </c:pt>
                <c:pt idx="14">
                  <c:v>9282.2980322693056</c:v>
                </c:pt>
                <c:pt idx="15">
                  <c:v>9361.5587740472802</c:v>
                </c:pt>
                <c:pt idx="16">
                  <c:v>9441.3776900631256</c:v>
                </c:pt>
                <c:pt idx="17">
                  <c:v>9522.0338674357772</c:v>
                </c:pt>
                <c:pt idx="18">
                  <c:v>9603.2482190463088</c:v>
                </c:pt>
                <c:pt idx="19">
                  <c:v>9673.5781730183098</c:v>
                </c:pt>
                <c:pt idx="20">
                  <c:v>9744.3267576687194</c:v>
                </c:pt>
                <c:pt idx="21">
                  <c:v>9815.7730601164712</c:v>
                </c:pt>
                <c:pt idx="22">
                  <c:v>9887.6379932426262</c:v>
                </c:pt>
                <c:pt idx="23">
                  <c:v>9959.9215570471843</c:v>
                </c:pt>
                <c:pt idx="24">
                  <c:v>10021.878897451094</c:v>
                </c:pt>
                <c:pt idx="25">
                  <c:v>10084.11532497394</c:v>
                </c:pt>
                <c:pt idx="26">
                  <c:v>10146.770383175188</c:v>
                </c:pt>
                <c:pt idx="27">
                  <c:v>10209.704528495375</c:v>
                </c:pt>
                <c:pt idx="28">
                  <c:v>10273.196848053434</c:v>
                </c:pt>
                <c:pt idx="29">
                  <c:v>10325.525682854031</c:v>
                </c:pt>
                <c:pt idx="30">
                  <c:v>10378.273148333035</c:v>
                </c:pt>
                <c:pt idx="31">
                  <c:v>10431.299700930973</c:v>
                </c:pt>
                <c:pt idx="32">
                  <c:v>10484.465797088382</c:v>
                </c:pt>
                <c:pt idx="33">
                  <c:v>10538.050523924194</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3350.003081988611</c:v>
                </c:pt>
                <c:pt idx="1">
                  <c:v>3707.5237846120858</c:v>
                </c:pt>
                <c:pt idx="2">
                  <c:v>4010.8726104984025</c:v>
                </c:pt>
                <c:pt idx="3">
                  <c:v>4617.5702622710369</c:v>
                </c:pt>
                <c:pt idx="4">
                  <c:v>5830.9655658163047</c:v>
                </c:pt>
                <c:pt idx="5">
                  <c:v>6437.663217588939</c:v>
                </c:pt>
                <c:pt idx="6">
                  <c:v>6437.663217588939</c:v>
                </c:pt>
                <c:pt idx="7">
                  <c:v>6437.663217588939</c:v>
                </c:pt>
                <c:pt idx="8">
                  <c:v>6437.663217588939</c:v>
                </c:pt>
                <c:pt idx="9">
                  <c:v>6437.663217588939</c:v>
                </c:pt>
                <c:pt idx="10">
                  <c:v>6437.663217588939</c:v>
                </c:pt>
                <c:pt idx="11">
                  <c:v>6437.663217588939</c:v>
                </c:pt>
                <c:pt idx="12">
                  <c:v>6437.663217588939</c:v>
                </c:pt>
                <c:pt idx="13">
                  <c:v>6437.663217588939</c:v>
                </c:pt>
                <c:pt idx="14">
                  <c:v>6437.663217588939</c:v>
                </c:pt>
                <c:pt idx="15">
                  <c:v>6437.663217588939</c:v>
                </c:pt>
                <c:pt idx="16">
                  <c:v>6437.663217588939</c:v>
                </c:pt>
                <c:pt idx="17">
                  <c:v>6437.663217588939</c:v>
                </c:pt>
                <c:pt idx="18">
                  <c:v>6437.663217588939</c:v>
                </c:pt>
                <c:pt idx="19">
                  <c:v>6437.663217588939</c:v>
                </c:pt>
                <c:pt idx="20">
                  <c:v>6437.663217588939</c:v>
                </c:pt>
                <c:pt idx="21">
                  <c:v>6437.663217588939</c:v>
                </c:pt>
                <c:pt idx="22">
                  <c:v>6437.663217588939</c:v>
                </c:pt>
                <c:pt idx="23">
                  <c:v>6437.663217588939</c:v>
                </c:pt>
                <c:pt idx="24">
                  <c:v>6437.663217588939</c:v>
                </c:pt>
                <c:pt idx="25">
                  <c:v>6437.663217588939</c:v>
                </c:pt>
                <c:pt idx="26">
                  <c:v>6437.663217588939</c:v>
                </c:pt>
                <c:pt idx="27">
                  <c:v>6437.663217588939</c:v>
                </c:pt>
                <c:pt idx="28">
                  <c:v>6437.663217588939</c:v>
                </c:pt>
                <c:pt idx="29">
                  <c:v>6437.663217588939</c:v>
                </c:pt>
                <c:pt idx="30">
                  <c:v>6437.663217588939</c:v>
                </c:pt>
                <c:pt idx="31">
                  <c:v>6437.663217588939</c:v>
                </c:pt>
                <c:pt idx="32">
                  <c:v>6437.663217588939</c:v>
                </c:pt>
                <c:pt idx="33">
                  <c:v>6437.663217588939</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2912.8337723127793</c:v>
                </c:pt>
                <c:pt idx="1">
                  <c:v>2839.8947106150845</c:v>
                </c:pt>
                <c:pt idx="2">
                  <c:v>2790.1362665611405</c:v>
                </c:pt>
                <c:pt idx="3">
                  <c:v>2714.9932591075731</c:v>
                </c:pt>
                <c:pt idx="4">
                  <c:v>2495.998164508394</c:v>
                </c:pt>
                <c:pt idx="5">
                  <c:v>2077.3165220380142</c:v>
                </c:pt>
                <c:pt idx="6">
                  <c:v>1970.0495886056535</c:v>
                </c:pt>
                <c:pt idx="7">
                  <c:v>1860.9463170645056</c:v>
                </c:pt>
                <c:pt idx="8">
                  <c:v>1749.9405966117486</c:v>
                </c:pt>
                <c:pt idx="9">
                  <c:v>1637.9345912124134</c:v>
                </c:pt>
                <c:pt idx="10">
                  <c:v>1523.736403786151</c:v>
                </c:pt>
                <c:pt idx="11">
                  <c:v>1407.2852783685898</c:v>
                </c:pt>
                <c:pt idx="12">
                  <c:v>1288.4825732929773</c:v>
                </c:pt>
                <c:pt idx="13">
                  <c:v>1167.2506234019572</c:v>
                </c:pt>
                <c:pt idx="14">
                  <c:v>1029.4352976776856</c:v>
                </c:pt>
                <c:pt idx="15">
                  <c:v>892.47557854764841</c:v>
                </c:pt>
                <c:pt idx="16">
                  <c:v>889.83251195236335</c:v>
                </c:pt>
                <c:pt idx="17">
                  <c:v>887.22218796001607</c:v>
                </c:pt>
                <c:pt idx="18">
                  <c:v>884.65314400987734</c:v>
                </c:pt>
                <c:pt idx="19">
                  <c:v>882.47497454136862</c:v>
                </c:pt>
                <c:pt idx="20">
                  <c:v>880.32612518865233</c:v>
                </c:pt>
                <c:pt idx="21">
                  <c:v>878.19788521195244</c:v>
                </c:pt>
                <c:pt idx="22">
                  <c:v>876.09833430116885</c:v>
                </c:pt>
                <c:pt idx="23">
                  <c:v>874.02700096817136</c:v>
                </c:pt>
                <c:pt idx="24">
                  <c:v>872.28298219028011</c:v>
                </c:pt>
                <c:pt idx="25">
                  <c:v>870.55954764817159</c:v>
                </c:pt>
                <c:pt idx="26">
                  <c:v>868.85261530984496</c:v>
                </c:pt>
                <c:pt idx="27">
                  <c:v>867.16577184967298</c:v>
                </c:pt>
                <c:pt idx="28">
                  <c:v>865.49141312309928</c:v>
                </c:pt>
                <c:pt idx="29">
                  <c:v>864.13170029955938</c:v>
                </c:pt>
                <c:pt idx="30">
                  <c:v>862.77923802179725</c:v>
                </c:pt>
                <c:pt idx="31">
                  <c:v>861.43760236095864</c:v>
                </c:pt>
                <c:pt idx="32">
                  <c:v>860.11017989336506</c:v>
                </c:pt>
                <c:pt idx="33">
                  <c:v>858.78992837063765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55436.163761568474</c:v>
                </c:pt>
                <c:pt idx="4">
                  <c:v>44485.810425950018</c:v>
                </c:pt>
                <c:pt idx="5">
                  <c:v>37102.569536250499</c:v>
                </c:pt>
                <c:pt idx="6">
                  <c:v>35001.710950493005</c:v>
                </c:pt>
                <c:pt idx="7">
                  <c:v>32706.974601156599</c:v>
                </c:pt>
                <c:pt idx="8">
                  <c:v>29904.349337096308</c:v>
                </c:pt>
                <c:pt idx="9">
                  <c:v>28144.21256929536</c:v>
                </c:pt>
                <c:pt idx="10">
                  <c:v>26435.386684551708</c:v>
                </c:pt>
                <c:pt idx="11">
                  <c:v>24777.87168286536</c:v>
                </c:pt>
                <c:pt idx="12">
                  <c:v>23171.667564236312</c:v>
                </c:pt>
                <c:pt idx="13">
                  <c:v>21616.774328664567</c:v>
                </c:pt>
                <c:pt idx="14">
                  <c:v>21507.858419631099</c:v>
                </c:pt>
                <c:pt idx="15">
                  <c:v>21398.942510597622</c:v>
                </c:pt>
                <c:pt idx="16">
                  <c:v>21290.026601564157</c:v>
                </c:pt>
                <c:pt idx="17">
                  <c:v>21181.110692530685</c:v>
                </c:pt>
                <c:pt idx="18">
                  <c:v>21072.194783497216</c:v>
                </c:pt>
                <c:pt idx="19">
                  <c:v>19371.237482179007</c:v>
                </c:pt>
                <c:pt idx="20">
                  <c:v>17670.280180860791</c:v>
                </c:pt>
                <c:pt idx="21">
                  <c:v>15969.32287954258</c:v>
                </c:pt>
                <c:pt idx="22">
                  <c:v>14268.365578224364</c:v>
                </c:pt>
                <c:pt idx="23">
                  <c:v>13687.941669523079</c:v>
                </c:pt>
                <c:pt idx="24">
                  <c:v>13687.941669523083</c:v>
                </c:pt>
                <c:pt idx="25">
                  <c:v>13687.941669523083</c:v>
                </c:pt>
                <c:pt idx="26">
                  <c:v>13687.941669523079</c:v>
                </c:pt>
                <c:pt idx="27">
                  <c:v>13687.941669523076</c:v>
                </c:pt>
                <c:pt idx="28">
                  <c:v>13687.941669523078</c:v>
                </c:pt>
                <c:pt idx="29">
                  <c:v>13687.941669523087</c:v>
                </c:pt>
                <c:pt idx="30">
                  <c:v>13687.941669523076</c:v>
                </c:pt>
                <c:pt idx="31">
                  <c:v>13687.941669523083</c:v>
                </c:pt>
                <c:pt idx="32">
                  <c:v>13687.941669523083</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7428.192334688978</c:v>
                </c:pt>
                <c:pt idx="2">
                  <c:v>8723.5671246015063</c:v>
                </c:pt>
                <c:pt idx="3">
                  <c:v>9483.9194914905984</c:v>
                </c:pt>
                <c:pt idx="4">
                  <c:v>10743.028570395385</c:v>
                </c:pt>
                <c:pt idx="5">
                  <c:v>11762.411300432748</c:v>
                </c:pt>
                <c:pt idx="6">
                  <c:v>12766.377783194815</c:v>
                </c:pt>
                <c:pt idx="7">
                  <c:v>13625.94506123162</c:v>
                </c:pt>
                <c:pt idx="8">
                  <c:v>14193.799436497282</c:v>
                </c:pt>
                <c:pt idx="9">
                  <c:v>15041.40590765981</c:v>
                </c:pt>
                <c:pt idx="10">
                  <c:v>15836.989254075068</c:v>
                </c:pt>
                <c:pt idx="11">
                  <c:v>16584.72667700579</c:v>
                </c:pt>
                <c:pt idx="12">
                  <c:v>17283.655687681759</c:v>
                </c:pt>
                <c:pt idx="13">
                  <c:v>17934.007283407827</c:v>
                </c:pt>
                <c:pt idx="14">
                  <c:v>17958.521419187695</c:v>
                </c:pt>
                <c:pt idx="15">
                  <c:v>17978.473358196748</c:v>
                </c:pt>
                <c:pt idx="16">
                  <c:v>18008.666177720872</c:v>
                </c:pt>
                <c:pt idx="17">
                  <c:v>18045.981414144564</c:v>
                </c:pt>
                <c:pt idx="18">
                  <c:v>18090.861812302133</c:v>
                </c:pt>
                <c:pt idx="19">
                  <c:v>17077.855866730344</c:v>
                </c:pt>
                <c:pt idx="20">
                  <c:v>16069.999236079195</c:v>
                </c:pt>
                <c:pt idx="21">
                  <c:v>15064.067582968466</c:v>
                </c:pt>
                <c:pt idx="22">
                  <c:v>14063.400743430801</c:v>
                </c:pt>
                <c:pt idx="23">
                  <c:v>13070.895808664543</c:v>
                </c:pt>
                <c:pt idx="24">
                  <c:v>12705.793090131663</c:v>
                </c:pt>
                <c:pt idx="25">
                  <c:v>12346.975423268272</c:v>
                </c:pt>
                <c:pt idx="26">
                  <c:v>11994.057812566287</c:v>
                </c:pt>
                <c:pt idx="27">
                  <c:v>11647.896873031197</c:v>
                </c:pt>
                <c:pt idx="28">
                  <c:v>11312.053813112787</c:v>
                </c:pt>
                <c:pt idx="29">
                  <c:v>10984.940526340208</c:v>
                </c:pt>
                <c:pt idx="30">
                  <c:v>10666.672511365883</c:v>
                </c:pt>
                <c:pt idx="31">
                  <c:v>10350.637470338455</c:v>
                </c:pt>
                <c:pt idx="32">
                  <c:v>10044.285066339367</c:v>
                </c:pt>
                <c:pt idx="33">
                  <c:v>9748.385290384791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1787.3285316252955</c:v>
                </c:pt>
                <c:pt idx="2">
                  <c:v>1877.2124191793723</c:v>
                </c:pt>
                <c:pt idx="3">
                  <c:v>1902.4705235478471</c:v>
                </c:pt>
                <c:pt idx="4">
                  <c:v>2238.7918742794518</c:v>
                </c:pt>
                <c:pt idx="5">
                  <c:v>2423.2959109577191</c:v>
                </c:pt>
                <c:pt idx="6">
                  <c:v>2457.7370057009366</c:v>
                </c:pt>
                <c:pt idx="7">
                  <c:v>2490.9560146032422</c:v>
                </c:pt>
                <c:pt idx="8">
                  <c:v>2525.5926430810055</c:v>
                </c:pt>
                <c:pt idx="9">
                  <c:v>2566.7307682324217</c:v>
                </c:pt>
                <c:pt idx="10">
                  <c:v>2607.4669629294931</c:v>
                </c:pt>
                <c:pt idx="11">
                  <c:v>2650.1584949720245</c:v>
                </c:pt>
                <c:pt idx="12">
                  <c:v>2694.2622150973871</c:v>
                </c:pt>
                <c:pt idx="13">
                  <c:v>2739.9084791286127</c:v>
                </c:pt>
                <c:pt idx="14">
                  <c:v>2794.7176712203664</c:v>
                </c:pt>
                <c:pt idx="15">
                  <c:v>2846.9523358072647</c:v>
                </c:pt>
                <c:pt idx="16">
                  <c:v>2904.9661085485213</c:v>
                </c:pt>
                <c:pt idx="17">
                  <c:v>2966.9991858332214</c:v>
                </c:pt>
                <c:pt idx="18">
                  <c:v>3033.3014163221746</c:v>
                </c:pt>
                <c:pt idx="19">
                  <c:v>3101.5644156492149</c:v>
                </c:pt>
                <c:pt idx="20">
                  <c:v>3172.7332635313132</c:v>
                </c:pt>
                <c:pt idx="21">
                  <c:v>3244.988409938665</c:v>
                </c:pt>
                <c:pt idx="22">
                  <c:v>3320.2145828125908</c:v>
                </c:pt>
                <c:pt idx="23">
                  <c:v>3400.0466614335983</c:v>
                </c:pt>
                <c:pt idx="24">
                  <c:v>3483.1647930935037</c:v>
                </c:pt>
                <c:pt idx="25">
                  <c:v>3569.829689438367</c:v>
                </c:pt>
                <c:pt idx="26">
                  <c:v>3659.8240907631371</c:v>
                </c:pt>
                <c:pt idx="27">
                  <c:v>3753.6313999115555</c:v>
                </c:pt>
                <c:pt idx="28">
                  <c:v>3853.2612691553395</c:v>
                </c:pt>
                <c:pt idx="29">
                  <c:v>3957.8175022111564</c:v>
                </c:pt>
                <c:pt idx="30">
                  <c:v>4067.3652769905207</c:v>
                </c:pt>
                <c:pt idx="31">
                  <c:v>4178.1731580591822</c:v>
                </c:pt>
                <c:pt idx="32">
                  <c:v>4294.4451207098782</c:v>
                </c:pt>
                <c:pt idx="33">
                  <c:v>4416.6156843527096</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55436.163761568474</c:v>
                </c:pt>
                <c:pt idx="4">
                  <c:v>44485.810425950018</c:v>
                </c:pt>
                <c:pt idx="5">
                  <c:v>37102.569536250499</c:v>
                </c:pt>
                <c:pt idx="6">
                  <c:v>35001.710950493005</c:v>
                </c:pt>
                <c:pt idx="7">
                  <c:v>32706.974601156599</c:v>
                </c:pt>
                <c:pt idx="8">
                  <c:v>29904.349337096308</c:v>
                </c:pt>
                <c:pt idx="9">
                  <c:v>28144.21256929536</c:v>
                </c:pt>
                <c:pt idx="10">
                  <c:v>26435.386684551708</c:v>
                </c:pt>
                <c:pt idx="11">
                  <c:v>24777.87168286536</c:v>
                </c:pt>
                <c:pt idx="12">
                  <c:v>23171.667564236312</c:v>
                </c:pt>
                <c:pt idx="13">
                  <c:v>21616.774328664567</c:v>
                </c:pt>
                <c:pt idx="14">
                  <c:v>21507.858419631099</c:v>
                </c:pt>
                <c:pt idx="15">
                  <c:v>21398.942510597622</c:v>
                </c:pt>
                <c:pt idx="16">
                  <c:v>21290.026601564157</c:v>
                </c:pt>
                <c:pt idx="17">
                  <c:v>21181.110692530685</c:v>
                </c:pt>
                <c:pt idx="18">
                  <c:v>21072.194783497216</c:v>
                </c:pt>
                <c:pt idx="19">
                  <c:v>19371.237482179007</c:v>
                </c:pt>
                <c:pt idx="20">
                  <c:v>17670.280180860791</c:v>
                </c:pt>
                <c:pt idx="21">
                  <c:v>15969.32287954258</c:v>
                </c:pt>
                <c:pt idx="22">
                  <c:v>14268.365578224364</c:v>
                </c:pt>
                <c:pt idx="23">
                  <c:v>13687.941669523079</c:v>
                </c:pt>
                <c:pt idx="24">
                  <c:v>13687.941669523083</c:v>
                </c:pt>
                <c:pt idx="25">
                  <c:v>13687.941669523083</c:v>
                </c:pt>
                <c:pt idx="26">
                  <c:v>13687.941669523079</c:v>
                </c:pt>
                <c:pt idx="27">
                  <c:v>13687.941669523076</c:v>
                </c:pt>
                <c:pt idx="28">
                  <c:v>13687.941669523078</c:v>
                </c:pt>
                <c:pt idx="29">
                  <c:v>13687.941669523087</c:v>
                </c:pt>
                <c:pt idx="30">
                  <c:v>13687.941669523076</c:v>
                </c:pt>
                <c:pt idx="31">
                  <c:v>13687.941669523083</c:v>
                </c:pt>
                <c:pt idx="32">
                  <c:v>13687.941669523083</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7428.192334688978</c:v>
                </c:pt>
                <c:pt idx="2">
                  <c:v>8723.5671246015063</c:v>
                </c:pt>
                <c:pt idx="3">
                  <c:v>9483.9194914905984</c:v>
                </c:pt>
                <c:pt idx="4">
                  <c:v>10743.028570395385</c:v>
                </c:pt>
                <c:pt idx="5">
                  <c:v>11762.411300432748</c:v>
                </c:pt>
                <c:pt idx="6">
                  <c:v>12766.377783194815</c:v>
                </c:pt>
                <c:pt idx="7">
                  <c:v>13625.94506123162</c:v>
                </c:pt>
                <c:pt idx="8">
                  <c:v>14193.799436497282</c:v>
                </c:pt>
                <c:pt idx="9">
                  <c:v>15041.40590765981</c:v>
                </c:pt>
                <c:pt idx="10">
                  <c:v>15836.989254075068</c:v>
                </c:pt>
                <c:pt idx="11">
                  <c:v>16584.72667700579</c:v>
                </c:pt>
                <c:pt idx="12">
                  <c:v>17283.655687681759</c:v>
                </c:pt>
                <c:pt idx="13">
                  <c:v>17934.007283407827</c:v>
                </c:pt>
                <c:pt idx="14">
                  <c:v>17958.521419187695</c:v>
                </c:pt>
                <c:pt idx="15">
                  <c:v>17978.473358196748</c:v>
                </c:pt>
                <c:pt idx="16">
                  <c:v>18008.666177720872</c:v>
                </c:pt>
                <c:pt idx="17">
                  <c:v>18045.981414144564</c:v>
                </c:pt>
                <c:pt idx="18">
                  <c:v>18090.861812302133</c:v>
                </c:pt>
                <c:pt idx="19">
                  <c:v>17077.855866730344</c:v>
                </c:pt>
                <c:pt idx="20">
                  <c:v>16069.999236079195</c:v>
                </c:pt>
                <c:pt idx="21">
                  <c:v>15064.067582968466</c:v>
                </c:pt>
                <c:pt idx="22">
                  <c:v>14063.400743430801</c:v>
                </c:pt>
                <c:pt idx="23">
                  <c:v>13070.895808664543</c:v>
                </c:pt>
                <c:pt idx="24">
                  <c:v>12705.793090131663</c:v>
                </c:pt>
                <c:pt idx="25">
                  <c:v>12346.975423268272</c:v>
                </c:pt>
                <c:pt idx="26">
                  <c:v>11994.057812566287</c:v>
                </c:pt>
                <c:pt idx="27">
                  <c:v>11647.896873031197</c:v>
                </c:pt>
                <c:pt idx="28">
                  <c:v>11312.053813112787</c:v>
                </c:pt>
                <c:pt idx="29">
                  <c:v>10984.940526340208</c:v>
                </c:pt>
                <c:pt idx="30">
                  <c:v>10666.672511365883</c:v>
                </c:pt>
                <c:pt idx="31">
                  <c:v>10350.637470338455</c:v>
                </c:pt>
                <c:pt idx="32">
                  <c:v>10044.285066339367</c:v>
                </c:pt>
                <c:pt idx="33">
                  <c:v>9748.385290384791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1787.3285316252955</c:v>
                </c:pt>
                <c:pt idx="2">
                  <c:v>1877.2124191793723</c:v>
                </c:pt>
                <c:pt idx="3">
                  <c:v>1902.4705235478471</c:v>
                </c:pt>
                <c:pt idx="4">
                  <c:v>2238.7918742794518</c:v>
                </c:pt>
                <c:pt idx="5">
                  <c:v>2423.2959109577191</c:v>
                </c:pt>
                <c:pt idx="6">
                  <c:v>2457.7370057009366</c:v>
                </c:pt>
                <c:pt idx="7">
                  <c:v>2490.9560146032422</c:v>
                </c:pt>
                <c:pt idx="8">
                  <c:v>2525.5926430810055</c:v>
                </c:pt>
                <c:pt idx="9">
                  <c:v>2566.7307682324217</c:v>
                </c:pt>
                <c:pt idx="10">
                  <c:v>2607.4669629294931</c:v>
                </c:pt>
                <c:pt idx="11">
                  <c:v>2650.1584949720245</c:v>
                </c:pt>
                <c:pt idx="12">
                  <c:v>2694.2622150973871</c:v>
                </c:pt>
                <c:pt idx="13">
                  <c:v>2739.9084791286127</c:v>
                </c:pt>
                <c:pt idx="14">
                  <c:v>2794.7176712203664</c:v>
                </c:pt>
                <c:pt idx="15">
                  <c:v>2846.9523358072647</c:v>
                </c:pt>
                <c:pt idx="16">
                  <c:v>2904.9661085485213</c:v>
                </c:pt>
                <c:pt idx="17">
                  <c:v>2966.9991858332214</c:v>
                </c:pt>
                <c:pt idx="18">
                  <c:v>3033.3014163221746</c:v>
                </c:pt>
                <c:pt idx="19">
                  <c:v>3101.5644156492149</c:v>
                </c:pt>
                <c:pt idx="20">
                  <c:v>3172.7332635313132</c:v>
                </c:pt>
                <c:pt idx="21">
                  <c:v>3244.988409938665</c:v>
                </c:pt>
                <c:pt idx="22">
                  <c:v>3320.2145828125908</c:v>
                </c:pt>
                <c:pt idx="23">
                  <c:v>3400.0466614335983</c:v>
                </c:pt>
                <c:pt idx="24">
                  <c:v>3483.1647930935037</c:v>
                </c:pt>
                <c:pt idx="25">
                  <c:v>3569.829689438367</c:v>
                </c:pt>
                <c:pt idx="26">
                  <c:v>3659.8240907631371</c:v>
                </c:pt>
                <c:pt idx="27">
                  <c:v>3753.6313999115555</c:v>
                </c:pt>
                <c:pt idx="28">
                  <c:v>3853.2612691553395</c:v>
                </c:pt>
                <c:pt idx="29">
                  <c:v>3957.8175022111564</c:v>
                </c:pt>
                <c:pt idx="30">
                  <c:v>4067.3652769905207</c:v>
                </c:pt>
                <c:pt idx="31">
                  <c:v>4178.1731580591822</c:v>
                </c:pt>
                <c:pt idx="32">
                  <c:v>4294.4451207098782</c:v>
                </c:pt>
                <c:pt idx="33">
                  <c:v>4416.6156843527096</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11401.436734411351</c:v>
                </c:pt>
                <c:pt idx="2">
                  <c:v>11499.274736487914</c:v>
                </c:pt>
                <c:pt idx="3">
                  <c:v>10666.04218423734</c:v>
                </c:pt>
                <c:pt idx="4">
                  <c:v>10902.806532330944</c:v>
                </c:pt>
                <c:pt idx="5">
                  <c:v>11130.022180776405</c:v>
                </c:pt>
                <c:pt idx="6">
                  <c:v>11359.371818915957</c:v>
                </c:pt>
                <c:pt idx="7">
                  <c:v>11580.583360764484</c:v>
                </c:pt>
                <c:pt idx="8">
                  <c:v>11811.235094310599</c:v>
                </c:pt>
                <c:pt idx="9">
                  <c:v>12085.18150012498</c:v>
                </c:pt>
                <c:pt idx="10">
                  <c:v>12356.45137649253</c:v>
                </c:pt>
                <c:pt idx="11">
                  <c:v>12640.742206925726</c:v>
                </c:pt>
                <c:pt idx="12">
                  <c:v>12934.437059739659</c:v>
                </c:pt>
                <c:pt idx="13">
                  <c:v>13238.403998538715</c:v>
                </c:pt>
                <c:pt idx="14">
                  <c:v>13603.388574862045</c:v>
                </c:pt>
                <c:pt idx="15">
                  <c:v>13951.228894998943</c:v>
                </c:pt>
                <c:pt idx="16">
                  <c:v>14337.553368263189</c:v>
                </c:pt>
                <c:pt idx="17">
                  <c:v>14750.643135995693</c:v>
                </c:pt>
                <c:pt idx="18">
                  <c:v>15192.161986771516</c:v>
                </c:pt>
                <c:pt idx="19">
                  <c:v>15646.737960929839</c:v>
                </c:pt>
                <c:pt idx="20">
                  <c:v>16120.664519602384</c:v>
                </c:pt>
                <c:pt idx="21">
                  <c:v>16601.824941644718</c:v>
                </c:pt>
                <c:pt idx="22">
                  <c:v>17102.769980003464</c:v>
                </c:pt>
                <c:pt idx="23">
                  <c:v>17634.386599050165</c:v>
                </c:pt>
                <c:pt idx="24">
                  <c:v>18187.88565479052</c:v>
                </c:pt>
                <c:pt idx="25">
                  <c:v>18765.003274433271</c:v>
                </c:pt>
                <c:pt idx="26">
                  <c:v>19364.292685304463</c:v>
                </c:pt>
                <c:pt idx="27">
                  <c:v>19988.972956603673</c:v>
                </c:pt>
                <c:pt idx="28">
                  <c:v>20652.426735565001</c:v>
                </c:pt>
                <c:pt idx="29">
                  <c:v>21348.686084908382</c:v>
                </c:pt>
                <c:pt idx="30">
                  <c:v>22078.185036435996</c:v>
                </c:pt>
                <c:pt idx="31">
                  <c:v>22816.075269472592</c:v>
                </c:pt>
                <c:pt idx="32">
                  <c:v>23590.351835259287</c:v>
                </c:pt>
                <c:pt idx="33">
                  <c:v>24403.908279144001</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22078.911187093639</c:v>
                </c:pt>
                <c:pt idx="9">
                  <c:v>21821.119703014414</c:v>
                </c:pt>
                <c:pt idx="10">
                  <c:v>21524.915508938841</c:v>
                </c:pt>
                <c:pt idx="11">
                  <c:v>21229.254705164996</c:v>
                </c:pt>
                <c:pt idx="12">
                  <c:v>20921.567311794388</c:v>
                </c:pt>
                <c:pt idx="13">
                  <c:v>20618.893537132371</c:v>
                </c:pt>
                <c:pt idx="14">
                  <c:v>20315.579958436225</c:v>
                </c:pt>
                <c:pt idx="15">
                  <c:v>20015.573879479143</c:v>
                </c:pt>
                <c:pt idx="16">
                  <c:v>19717.114361523087</c:v>
                </c:pt>
                <c:pt idx="17">
                  <c:v>19422.379076093777</c:v>
                </c:pt>
                <c:pt idx="18">
                  <c:v>19070.89548668098</c:v>
                </c:pt>
                <c:pt idx="19">
                  <c:v>18732.98526259965</c:v>
                </c:pt>
                <c:pt idx="20">
                  <c:v>18408.66808041976</c:v>
                </c:pt>
                <c:pt idx="21">
                  <c:v>18093.937952799864</c:v>
                </c:pt>
                <c:pt idx="22">
                  <c:v>17788.691337775697</c:v>
                </c:pt>
                <c:pt idx="23">
                  <c:v>17493.475165397602</c:v>
                </c:pt>
                <c:pt idx="24">
                  <c:v>17207.67411989082</c:v>
                </c:pt>
                <c:pt idx="25">
                  <c:v>16930.68694138974</c:v>
                </c:pt>
                <c:pt idx="26">
                  <c:v>16655.611894610629</c:v>
                </c:pt>
                <c:pt idx="27">
                  <c:v>16403.990160354129</c:v>
                </c:pt>
                <c:pt idx="28">
                  <c:v>16171.423782232319</c:v>
                </c:pt>
                <c:pt idx="29">
                  <c:v>15957.641784688163</c:v>
                </c:pt>
                <c:pt idx="30">
                  <c:v>15762.26180444421</c:v>
                </c:pt>
                <c:pt idx="31">
                  <c:v>15578.555489201801</c:v>
                </c:pt>
                <c:pt idx="32">
                  <c:v>15403.528089043777</c:v>
                </c:pt>
                <c:pt idx="33">
                  <c:v>15237.073182931072</c:v>
                </c:pt>
                <c:pt idx="34">
                  <c:v>15079.031210306264</c:v>
                </c:pt>
                <c:pt idx="35">
                  <c:v>14929.702838803894</c:v>
                </c:pt>
                <c:pt idx="36">
                  <c:v>14782.081058864349</c:v>
                </c:pt>
                <c:pt idx="37">
                  <c:v>14642.562575216998</c:v>
                </c:pt>
                <c:pt idx="38">
                  <c:v>14516.459719775956</c:v>
                </c:pt>
                <c:pt idx="39">
                  <c:v>14404.003588947309</c:v>
                </c:pt>
                <c:pt idx="40">
                  <c:v>14305.084604470037</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22128.562368642764</c:v>
                </c:pt>
                <c:pt idx="9">
                  <c:v>21930.271332140495</c:v>
                </c:pt>
                <c:pt idx="10">
                  <c:v>21757.636557471822</c:v>
                </c:pt>
                <c:pt idx="11">
                  <c:v>21652.636030948182</c:v>
                </c:pt>
                <c:pt idx="12">
                  <c:v>21312.421858281785</c:v>
                </c:pt>
                <c:pt idx="13">
                  <c:v>20861.497670763485</c:v>
                </c:pt>
                <c:pt idx="14">
                  <c:v>20436.459424778128</c:v>
                </c:pt>
                <c:pt idx="15">
                  <c:v>20036.011796137504</c:v>
                </c:pt>
                <c:pt idx="16">
                  <c:v>19651.292925373818</c:v>
                </c:pt>
                <c:pt idx="17">
                  <c:v>19287.291483779678</c:v>
                </c:pt>
                <c:pt idx="18">
                  <c:v>18942.726950369659</c:v>
                </c:pt>
                <c:pt idx="19">
                  <c:v>18616.270764468114</c:v>
                </c:pt>
                <c:pt idx="20">
                  <c:v>18306.51662058994</c:v>
                </c:pt>
                <c:pt idx="21">
                  <c:v>17910.077658437382</c:v>
                </c:pt>
                <c:pt idx="22">
                  <c:v>17523.02460841577</c:v>
                </c:pt>
                <c:pt idx="23">
                  <c:v>17160.703952792632</c:v>
                </c:pt>
                <c:pt idx="24">
                  <c:v>16820.080930692598</c:v>
                </c:pt>
                <c:pt idx="25">
                  <c:v>16500.022238871847</c:v>
                </c:pt>
                <c:pt idx="26">
                  <c:v>16192.486407042355</c:v>
                </c:pt>
                <c:pt idx="27">
                  <c:v>15903.327585851937</c:v>
                </c:pt>
                <c:pt idx="28">
                  <c:v>15631.584726487545</c:v>
                </c:pt>
                <c:pt idx="29">
                  <c:v>15376.544695670253</c:v>
                </c:pt>
                <c:pt idx="30">
                  <c:v>15137.661976130954</c:v>
                </c:pt>
                <c:pt idx="31">
                  <c:v>14912.976901667549</c:v>
                </c:pt>
                <c:pt idx="32">
                  <c:v>14706.236852850854</c:v>
                </c:pt>
                <c:pt idx="33">
                  <c:v>14516.746799002976</c:v>
                </c:pt>
                <c:pt idx="34">
                  <c:v>14343.780717420035</c:v>
                </c:pt>
                <c:pt idx="35">
                  <c:v>14187.111429914643</c:v>
                </c:pt>
                <c:pt idx="36">
                  <c:v>14039.041404476651</c:v>
                </c:pt>
                <c:pt idx="37">
                  <c:v>13905.762515841045</c:v>
                </c:pt>
                <c:pt idx="38">
                  <c:v>13786.063487316951</c:v>
                </c:pt>
                <c:pt idx="39">
                  <c:v>13679.889230322973</c:v>
                </c:pt>
                <c:pt idx="40">
                  <c:v>13586.925661114316</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22066.316681604425</c:v>
                </c:pt>
                <c:pt idx="9">
                  <c:v>21796.878457386501</c:v>
                </c:pt>
                <c:pt idx="10">
                  <c:v>21536.082034230996</c:v>
                </c:pt>
                <c:pt idx="11">
                  <c:v>21287.023892414974</c:v>
                </c:pt>
                <c:pt idx="12">
                  <c:v>20810.61090803914</c:v>
                </c:pt>
                <c:pt idx="13">
                  <c:v>20357.771720827295</c:v>
                </c:pt>
                <c:pt idx="14">
                  <c:v>19930.894174042682</c:v>
                </c:pt>
                <c:pt idx="15">
                  <c:v>19528.533245099836</c:v>
                </c:pt>
                <c:pt idx="16">
                  <c:v>19141.538952218521</c:v>
                </c:pt>
                <c:pt idx="17">
                  <c:v>18775.29069373649</c:v>
                </c:pt>
                <c:pt idx="18">
                  <c:v>18428.374265280894</c:v>
                </c:pt>
                <c:pt idx="19">
                  <c:v>18099.491712047471</c:v>
                </c:pt>
                <c:pt idx="20">
                  <c:v>17787.229201448379</c:v>
                </c:pt>
                <c:pt idx="21">
                  <c:v>17387.768120305445</c:v>
                </c:pt>
                <c:pt idx="22">
                  <c:v>16997.834947156214</c:v>
                </c:pt>
                <c:pt idx="23">
                  <c:v>16632.30324569486</c:v>
                </c:pt>
                <c:pt idx="24">
                  <c:v>16288.238146484551</c:v>
                </c:pt>
                <c:pt idx="25">
                  <c:v>15964.492401858179</c:v>
                </c:pt>
                <c:pt idx="26">
                  <c:v>15653.155479936913</c:v>
                </c:pt>
                <c:pt idx="27">
                  <c:v>15360.028041741676</c:v>
                </c:pt>
                <c:pt idx="28">
                  <c:v>15084.252274111783</c:v>
                </c:pt>
                <c:pt idx="29">
                  <c:v>14825.008462278365</c:v>
                </c:pt>
                <c:pt idx="30">
                  <c:v>14581.658645608419</c:v>
                </c:pt>
                <c:pt idx="31">
                  <c:v>14352.3180614595</c:v>
                </c:pt>
                <c:pt idx="32">
                  <c:v>14140.719330131125</c:v>
                </c:pt>
                <c:pt idx="33">
                  <c:v>13946.179862980394</c:v>
                </c:pt>
                <c:pt idx="34">
                  <c:v>13767.946387581267</c:v>
                </c:pt>
                <c:pt idx="35">
                  <c:v>13605.67801995789</c:v>
                </c:pt>
                <c:pt idx="36">
                  <c:v>13451.728105963357</c:v>
                </c:pt>
                <c:pt idx="37">
                  <c:v>13312.284795021758</c:v>
                </c:pt>
                <c:pt idx="38">
                  <c:v>13186.348269662725</c:v>
                </c:pt>
                <c:pt idx="39">
                  <c:v>13073.625430698528</c:v>
                </c:pt>
                <c:pt idx="40">
                  <c:v>12973.777678071365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22078.911187093639</c:v>
                </c:pt>
                <c:pt idx="9">
                  <c:v>21821.119703014414</c:v>
                </c:pt>
                <c:pt idx="10">
                  <c:v>21524.915508938841</c:v>
                </c:pt>
                <c:pt idx="11">
                  <c:v>21229.254705164996</c:v>
                </c:pt>
                <c:pt idx="12">
                  <c:v>20921.567311794388</c:v>
                </c:pt>
                <c:pt idx="13">
                  <c:v>20618.893537132371</c:v>
                </c:pt>
                <c:pt idx="14">
                  <c:v>20315.579958436225</c:v>
                </c:pt>
                <c:pt idx="15">
                  <c:v>20015.573879479143</c:v>
                </c:pt>
                <c:pt idx="16">
                  <c:v>19717.114361523087</c:v>
                </c:pt>
                <c:pt idx="17">
                  <c:v>19422.379076093777</c:v>
                </c:pt>
                <c:pt idx="18">
                  <c:v>19070.89548668098</c:v>
                </c:pt>
                <c:pt idx="19">
                  <c:v>18732.98526259965</c:v>
                </c:pt>
                <c:pt idx="20">
                  <c:v>18408.66808041976</c:v>
                </c:pt>
                <c:pt idx="21">
                  <c:v>18093.937952799864</c:v>
                </c:pt>
                <c:pt idx="22">
                  <c:v>17788.691337775697</c:v>
                </c:pt>
                <c:pt idx="23">
                  <c:v>17493.475165397602</c:v>
                </c:pt>
                <c:pt idx="24">
                  <c:v>17207.67411989082</c:v>
                </c:pt>
                <c:pt idx="25">
                  <c:v>16930.68694138974</c:v>
                </c:pt>
                <c:pt idx="26">
                  <c:v>16655.611894610629</c:v>
                </c:pt>
                <c:pt idx="27">
                  <c:v>16403.990160354129</c:v>
                </c:pt>
                <c:pt idx="28">
                  <c:v>16171.423782232319</c:v>
                </c:pt>
                <c:pt idx="29">
                  <c:v>15957.641784688163</c:v>
                </c:pt>
                <c:pt idx="30">
                  <c:v>15762.26180444421</c:v>
                </c:pt>
                <c:pt idx="31">
                  <c:v>15578.555489201801</c:v>
                </c:pt>
                <c:pt idx="32">
                  <c:v>15403.528089043777</c:v>
                </c:pt>
                <c:pt idx="33">
                  <c:v>15237.073182931072</c:v>
                </c:pt>
                <c:pt idx="34">
                  <c:v>15079.031210306264</c:v>
                </c:pt>
                <c:pt idx="35">
                  <c:v>14929.702838803894</c:v>
                </c:pt>
                <c:pt idx="36">
                  <c:v>14782.081058864349</c:v>
                </c:pt>
                <c:pt idx="37">
                  <c:v>14642.562575216998</c:v>
                </c:pt>
                <c:pt idx="38">
                  <c:v>14516.459719775956</c:v>
                </c:pt>
                <c:pt idx="39">
                  <c:v>14404.003588947309</c:v>
                </c:pt>
                <c:pt idx="40">
                  <c:v>14305.084604470037</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22128.562368642764</c:v>
                </c:pt>
                <c:pt idx="9">
                  <c:v>21930.271332140495</c:v>
                </c:pt>
                <c:pt idx="10">
                  <c:v>21757.636557471822</c:v>
                </c:pt>
                <c:pt idx="11">
                  <c:v>21652.636030948182</c:v>
                </c:pt>
                <c:pt idx="12">
                  <c:v>21312.421858281785</c:v>
                </c:pt>
                <c:pt idx="13">
                  <c:v>20861.497670763485</c:v>
                </c:pt>
                <c:pt idx="14">
                  <c:v>20436.459424778128</c:v>
                </c:pt>
                <c:pt idx="15">
                  <c:v>20036.011796137504</c:v>
                </c:pt>
                <c:pt idx="16">
                  <c:v>19651.292925373818</c:v>
                </c:pt>
                <c:pt idx="17">
                  <c:v>19287.291483779678</c:v>
                </c:pt>
                <c:pt idx="18">
                  <c:v>18942.726950369659</c:v>
                </c:pt>
                <c:pt idx="19">
                  <c:v>18616.270764468114</c:v>
                </c:pt>
                <c:pt idx="20">
                  <c:v>18306.51662058994</c:v>
                </c:pt>
                <c:pt idx="21">
                  <c:v>17910.077658437382</c:v>
                </c:pt>
                <c:pt idx="22">
                  <c:v>17523.02460841577</c:v>
                </c:pt>
                <c:pt idx="23">
                  <c:v>17160.703952792632</c:v>
                </c:pt>
                <c:pt idx="24">
                  <c:v>16820.080930692598</c:v>
                </c:pt>
                <c:pt idx="25">
                  <c:v>16500.022238871847</c:v>
                </c:pt>
                <c:pt idx="26">
                  <c:v>16192.486407042355</c:v>
                </c:pt>
                <c:pt idx="27">
                  <c:v>15903.327585851937</c:v>
                </c:pt>
                <c:pt idx="28">
                  <c:v>15631.584726487545</c:v>
                </c:pt>
                <c:pt idx="29">
                  <c:v>15376.544695670253</c:v>
                </c:pt>
                <c:pt idx="30">
                  <c:v>15137.661976130954</c:v>
                </c:pt>
                <c:pt idx="31">
                  <c:v>14912.976901667549</c:v>
                </c:pt>
                <c:pt idx="32">
                  <c:v>14706.236852850854</c:v>
                </c:pt>
                <c:pt idx="33">
                  <c:v>14516.746799002976</c:v>
                </c:pt>
                <c:pt idx="34">
                  <c:v>14343.780717420035</c:v>
                </c:pt>
                <c:pt idx="35">
                  <c:v>14187.111429914643</c:v>
                </c:pt>
                <c:pt idx="36">
                  <c:v>14039.041404476651</c:v>
                </c:pt>
                <c:pt idx="37">
                  <c:v>13905.762515841045</c:v>
                </c:pt>
                <c:pt idx="38">
                  <c:v>13786.063487316951</c:v>
                </c:pt>
                <c:pt idx="39">
                  <c:v>13679.889230322973</c:v>
                </c:pt>
                <c:pt idx="40">
                  <c:v>13586.925661114316</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22066.316681604425</c:v>
                </c:pt>
                <c:pt idx="9">
                  <c:v>21796.878457386501</c:v>
                </c:pt>
                <c:pt idx="10">
                  <c:v>21536.082034230996</c:v>
                </c:pt>
                <c:pt idx="11">
                  <c:v>21287.023892414974</c:v>
                </c:pt>
                <c:pt idx="12">
                  <c:v>20810.61090803914</c:v>
                </c:pt>
                <c:pt idx="13">
                  <c:v>20357.771720827295</c:v>
                </c:pt>
                <c:pt idx="14">
                  <c:v>19930.894174042682</c:v>
                </c:pt>
                <c:pt idx="15">
                  <c:v>19528.533245099836</c:v>
                </c:pt>
                <c:pt idx="16">
                  <c:v>19141.538952218521</c:v>
                </c:pt>
                <c:pt idx="17">
                  <c:v>18775.29069373649</c:v>
                </c:pt>
                <c:pt idx="18">
                  <c:v>18428.374265280894</c:v>
                </c:pt>
                <c:pt idx="19">
                  <c:v>18099.491712047471</c:v>
                </c:pt>
                <c:pt idx="20">
                  <c:v>17787.229201448379</c:v>
                </c:pt>
                <c:pt idx="21">
                  <c:v>17387.768120305445</c:v>
                </c:pt>
                <c:pt idx="22">
                  <c:v>16997.834947156214</c:v>
                </c:pt>
                <c:pt idx="23">
                  <c:v>16632.30324569486</c:v>
                </c:pt>
                <c:pt idx="24">
                  <c:v>16288.238146484551</c:v>
                </c:pt>
                <c:pt idx="25">
                  <c:v>15964.492401858179</c:v>
                </c:pt>
                <c:pt idx="26">
                  <c:v>15653.155479936913</c:v>
                </c:pt>
                <c:pt idx="27">
                  <c:v>15360.028041741676</c:v>
                </c:pt>
                <c:pt idx="28">
                  <c:v>15084.252274111783</c:v>
                </c:pt>
                <c:pt idx="29">
                  <c:v>14825.008462278365</c:v>
                </c:pt>
                <c:pt idx="30">
                  <c:v>14581.658645608419</c:v>
                </c:pt>
                <c:pt idx="31">
                  <c:v>14352.3180614595</c:v>
                </c:pt>
                <c:pt idx="32">
                  <c:v>14140.719330131125</c:v>
                </c:pt>
                <c:pt idx="33">
                  <c:v>13946.179862980394</c:v>
                </c:pt>
                <c:pt idx="34">
                  <c:v>13767.946387581267</c:v>
                </c:pt>
                <c:pt idx="35">
                  <c:v>13605.67801995789</c:v>
                </c:pt>
                <c:pt idx="36">
                  <c:v>13451.728105963357</c:v>
                </c:pt>
                <c:pt idx="37">
                  <c:v>13312.284795021758</c:v>
                </c:pt>
                <c:pt idx="38">
                  <c:v>13186.348269662725</c:v>
                </c:pt>
                <c:pt idx="39">
                  <c:v>13073.625430698528</c:v>
                </c:pt>
                <c:pt idx="40">
                  <c:v>12973.777678071365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108.28006728803635</c:v>
                </c:pt>
                <c:pt idx="9">
                  <c:v>105.21077375423089</c:v>
                </c:pt>
                <c:pt idx="10">
                  <c:v>100.89899296551214</c:v>
                </c:pt>
                <c:pt idx="11">
                  <c:v>98.443496097910909</c:v>
                </c:pt>
                <c:pt idx="12">
                  <c:v>96.077452099642258</c:v>
                </c:pt>
                <c:pt idx="13">
                  <c:v>93.930652892571672</c:v>
                </c:pt>
                <c:pt idx="14">
                  <c:v>91.917226855193647</c:v>
                </c:pt>
                <c:pt idx="15">
                  <c:v>89.983613959797935</c:v>
                </c:pt>
                <c:pt idx="16">
                  <c:v>88.422852576847475</c:v>
                </c:pt>
                <c:pt idx="17">
                  <c:v>87.021952706024905</c:v>
                </c:pt>
                <c:pt idx="18">
                  <c:v>85.349301986156263</c:v>
                </c:pt>
                <c:pt idx="19">
                  <c:v>83.845790115928594</c:v>
                </c:pt>
                <c:pt idx="20">
                  <c:v>82.506254433459432</c:v>
                </c:pt>
                <c:pt idx="21">
                  <c:v>81.494920639413479</c:v>
                </c:pt>
                <c:pt idx="22">
                  <c:v>80.502420149338775</c:v>
                </c:pt>
                <c:pt idx="23">
                  <c:v>79.605946996228582</c:v>
                </c:pt>
                <c:pt idx="24">
                  <c:v>78.787691926572478</c:v>
                </c:pt>
                <c:pt idx="25">
                  <c:v>78.048412096960703</c:v>
                </c:pt>
                <c:pt idx="26">
                  <c:v>76.825237752046746</c:v>
                </c:pt>
                <c:pt idx="27">
                  <c:v>75.899155202786105</c:v>
                </c:pt>
                <c:pt idx="28">
                  <c:v>74.913290833715919</c:v>
                </c:pt>
                <c:pt idx="29">
                  <c:v>73.988787336966865</c:v>
                </c:pt>
                <c:pt idx="30">
                  <c:v>73.13991196203331</c:v>
                </c:pt>
                <c:pt idx="31">
                  <c:v>72.190892599144334</c:v>
                </c:pt>
                <c:pt idx="32">
                  <c:v>71.346716720966938</c:v>
                </c:pt>
                <c:pt idx="33">
                  <c:v>70.601583075559873</c:v>
                </c:pt>
                <c:pt idx="34">
                  <c:v>69.956283762597309</c:v>
                </c:pt>
                <c:pt idx="35">
                  <c:v>69.426542820310033</c:v>
                </c:pt>
                <c:pt idx="36">
                  <c:v>68.991107812155235</c:v>
                </c:pt>
                <c:pt idx="37">
                  <c:v>68.656885417861446</c:v>
                </c:pt>
                <c:pt idx="38">
                  <c:v>68.607826094018549</c:v>
                </c:pt>
                <c:pt idx="39">
                  <c:v>68.658381543966158</c:v>
                </c:pt>
                <c:pt idx="40">
                  <c:v>68.810267360351872</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108.28006728803635</c:v>
                </c:pt>
                <c:pt idx="9">
                  <c:v>105.21077375423089</c:v>
                </c:pt>
                <c:pt idx="10">
                  <c:v>100.89899296551214</c:v>
                </c:pt>
                <c:pt idx="11">
                  <c:v>98.443496097910909</c:v>
                </c:pt>
                <c:pt idx="12">
                  <c:v>96.077452099642258</c:v>
                </c:pt>
                <c:pt idx="13">
                  <c:v>93.930652892571672</c:v>
                </c:pt>
                <c:pt idx="14">
                  <c:v>91.917226855193647</c:v>
                </c:pt>
                <c:pt idx="15">
                  <c:v>89.983613959797935</c:v>
                </c:pt>
                <c:pt idx="16">
                  <c:v>88.422852576847475</c:v>
                </c:pt>
                <c:pt idx="17">
                  <c:v>87.021952706024905</c:v>
                </c:pt>
                <c:pt idx="18">
                  <c:v>85.349301986156263</c:v>
                </c:pt>
                <c:pt idx="19">
                  <c:v>83.845790115928594</c:v>
                </c:pt>
                <c:pt idx="20">
                  <c:v>82.506254433459432</c:v>
                </c:pt>
                <c:pt idx="21">
                  <c:v>81.494920639413479</c:v>
                </c:pt>
                <c:pt idx="22">
                  <c:v>80.502420149338775</c:v>
                </c:pt>
                <c:pt idx="23">
                  <c:v>79.605946996228582</c:v>
                </c:pt>
                <c:pt idx="24">
                  <c:v>78.787691926572478</c:v>
                </c:pt>
                <c:pt idx="25">
                  <c:v>78.048412096960703</c:v>
                </c:pt>
                <c:pt idx="26">
                  <c:v>76.825237752046746</c:v>
                </c:pt>
                <c:pt idx="27">
                  <c:v>75.899155202786105</c:v>
                </c:pt>
                <c:pt idx="28">
                  <c:v>74.913290833715919</c:v>
                </c:pt>
                <c:pt idx="29">
                  <c:v>73.988787336966865</c:v>
                </c:pt>
                <c:pt idx="30">
                  <c:v>73.13991196203331</c:v>
                </c:pt>
                <c:pt idx="31">
                  <c:v>72.190892599144334</c:v>
                </c:pt>
                <c:pt idx="32">
                  <c:v>71.346716720966938</c:v>
                </c:pt>
                <c:pt idx="33">
                  <c:v>70.601583075559873</c:v>
                </c:pt>
                <c:pt idx="34">
                  <c:v>69.956283762597309</c:v>
                </c:pt>
                <c:pt idx="35">
                  <c:v>69.426542820310033</c:v>
                </c:pt>
                <c:pt idx="36">
                  <c:v>68.991107812155235</c:v>
                </c:pt>
                <c:pt idx="37">
                  <c:v>68.656885417861446</c:v>
                </c:pt>
                <c:pt idx="38">
                  <c:v>68.607826094018549</c:v>
                </c:pt>
                <c:pt idx="39">
                  <c:v>68.658381543966158</c:v>
                </c:pt>
                <c:pt idx="40">
                  <c:v>68.810267360351872</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108.7554268120047</c:v>
                </c:pt>
                <c:pt idx="9">
                  <c:v>106.72699670564646</c:v>
                </c:pt>
                <c:pt idx="10">
                  <c:v>101.06344703165011</c:v>
                </c:pt>
                <c:pt idx="11">
                  <c:v>91.347015592912086</c:v>
                </c:pt>
                <c:pt idx="12">
                  <c:v>84.104979827855686</c:v>
                </c:pt>
                <c:pt idx="13">
                  <c:v>83.027594209006878</c:v>
                </c:pt>
                <c:pt idx="14">
                  <c:v>81.604265546673517</c:v>
                </c:pt>
                <c:pt idx="15">
                  <c:v>79.393863791539559</c:v>
                </c:pt>
                <c:pt idx="16">
                  <c:v>78.544213770689353</c:v>
                </c:pt>
                <c:pt idx="17">
                  <c:v>77.691730358063538</c:v>
                </c:pt>
                <c:pt idx="18">
                  <c:v>76.858350368646072</c:v>
                </c:pt>
                <c:pt idx="19">
                  <c:v>76.039154925027447</c:v>
                </c:pt>
                <c:pt idx="20">
                  <c:v>75.235193787836593</c:v>
                </c:pt>
                <c:pt idx="21">
                  <c:v>75.17701222946782</c:v>
                </c:pt>
                <c:pt idx="22">
                  <c:v>75.096103015028518</c:v>
                </c:pt>
                <c:pt idx="23">
                  <c:v>75.538894020945236</c:v>
                </c:pt>
                <c:pt idx="24">
                  <c:v>76.020462046732973</c:v>
                </c:pt>
                <c:pt idx="25">
                  <c:v>76.542892924782237</c:v>
                </c:pt>
                <c:pt idx="26">
                  <c:v>74.419920435881096</c:v>
                </c:pt>
                <c:pt idx="27">
                  <c:v>72.324801645764069</c:v>
                </c:pt>
                <c:pt idx="28">
                  <c:v>70.24064632225587</c:v>
                </c:pt>
                <c:pt idx="29">
                  <c:v>68.184958774848027</c:v>
                </c:pt>
                <c:pt idx="30">
                  <c:v>67.293690859519771</c:v>
                </c:pt>
                <c:pt idx="31">
                  <c:v>67.62541865001316</c:v>
                </c:pt>
                <c:pt idx="32">
                  <c:v>67.990896492118125</c:v>
                </c:pt>
                <c:pt idx="33">
                  <c:v>68.38821081947502</c:v>
                </c:pt>
                <c:pt idx="34">
                  <c:v>68.82178476224756</c:v>
                </c:pt>
                <c:pt idx="35">
                  <c:v>69.310843311365758</c:v>
                </c:pt>
                <c:pt idx="36">
                  <c:v>69.835514728969443</c:v>
                </c:pt>
                <c:pt idx="37">
                  <c:v>70.407688443503332</c:v>
                </c:pt>
                <c:pt idx="38">
                  <c:v>70.992036433518251</c:v>
                </c:pt>
                <c:pt idx="39">
                  <c:v>71.628071231646388</c:v>
                </c:pt>
                <c:pt idx="40">
                  <c:v>72.320162938532434</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111.48217523856577</c:v>
                </c:pt>
                <c:pt idx="7">
                  <c:v>111.48217523856577</c:v>
                </c:pt>
                <c:pt idx="8">
                  <c:v>108.7554268120047</c:v>
                </c:pt>
                <c:pt idx="9">
                  <c:v>106.72699670564646</c:v>
                </c:pt>
                <c:pt idx="10">
                  <c:v>101.06344703165011</c:v>
                </c:pt>
                <c:pt idx="11">
                  <c:v>91.347015592912086</c:v>
                </c:pt>
                <c:pt idx="12">
                  <c:v>84.104979827855686</c:v>
                </c:pt>
                <c:pt idx="13">
                  <c:v>83.027594209006878</c:v>
                </c:pt>
                <c:pt idx="14">
                  <c:v>81.604265546673517</c:v>
                </c:pt>
                <c:pt idx="15">
                  <c:v>79.393863791539559</c:v>
                </c:pt>
                <c:pt idx="16">
                  <c:v>78.544213770689353</c:v>
                </c:pt>
                <c:pt idx="17">
                  <c:v>77.691730358063538</c:v>
                </c:pt>
                <c:pt idx="18">
                  <c:v>76.858350368646072</c:v>
                </c:pt>
                <c:pt idx="19">
                  <c:v>76.039154925027447</c:v>
                </c:pt>
                <c:pt idx="20">
                  <c:v>75.235193787836593</c:v>
                </c:pt>
                <c:pt idx="21">
                  <c:v>75.17701222946782</c:v>
                </c:pt>
                <c:pt idx="22">
                  <c:v>75.096103015028518</c:v>
                </c:pt>
                <c:pt idx="23">
                  <c:v>75.538894020945236</c:v>
                </c:pt>
                <c:pt idx="24">
                  <c:v>76.020462046732973</c:v>
                </c:pt>
                <c:pt idx="25">
                  <c:v>76.542892924782237</c:v>
                </c:pt>
                <c:pt idx="26">
                  <c:v>74.419920435881096</c:v>
                </c:pt>
                <c:pt idx="27">
                  <c:v>72.324801645764069</c:v>
                </c:pt>
                <c:pt idx="28">
                  <c:v>70.24064632225587</c:v>
                </c:pt>
                <c:pt idx="29">
                  <c:v>68.184958774848027</c:v>
                </c:pt>
                <c:pt idx="30">
                  <c:v>67.293690859519771</c:v>
                </c:pt>
                <c:pt idx="31">
                  <c:v>67.62541865001316</c:v>
                </c:pt>
                <c:pt idx="32">
                  <c:v>67.990896492118125</c:v>
                </c:pt>
                <c:pt idx="33">
                  <c:v>68.38821081947502</c:v>
                </c:pt>
                <c:pt idx="34">
                  <c:v>68.82178476224756</c:v>
                </c:pt>
                <c:pt idx="35">
                  <c:v>69.310843311365758</c:v>
                </c:pt>
                <c:pt idx="36">
                  <c:v>69.835514728969443</c:v>
                </c:pt>
                <c:pt idx="37">
                  <c:v>70.407688443503332</c:v>
                </c:pt>
                <c:pt idx="38">
                  <c:v>70.992036433518251</c:v>
                </c:pt>
                <c:pt idx="39">
                  <c:v>71.628071231646388</c:v>
                </c:pt>
                <c:pt idx="40">
                  <c:v>72.320162938532434</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108.7554268120047</c:v>
                </c:pt>
                <c:pt idx="9">
                  <c:v>106.72699670564646</c:v>
                </c:pt>
                <c:pt idx="10">
                  <c:v>101.06344703165011</c:v>
                </c:pt>
                <c:pt idx="11">
                  <c:v>91.347015592912086</c:v>
                </c:pt>
                <c:pt idx="12">
                  <c:v>84.104979827855686</c:v>
                </c:pt>
                <c:pt idx="13">
                  <c:v>83.027594209006878</c:v>
                </c:pt>
                <c:pt idx="14">
                  <c:v>81.604265546673517</c:v>
                </c:pt>
                <c:pt idx="15">
                  <c:v>79.393863791539559</c:v>
                </c:pt>
                <c:pt idx="16">
                  <c:v>78.544213770689353</c:v>
                </c:pt>
                <c:pt idx="17">
                  <c:v>77.691730358063538</c:v>
                </c:pt>
                <c:pt idx="18">
                  <c:v>76.858350368646072</c:v>
                </c:pt>
                <c:pt idx="19">
                  <c:v>76.039154925027447</c:v>
                </c:pt>
                <c:pt idx="20">
                  <c:v>75.235193787836593</c:v>
                </c:pt>
                <c:pt idx="21">
                  <c:v>75.17701222946782</c:v>
                </c:pt>
                <c:pt idx="22">
                  <c:v>75.096103015028518</c:v>
                </c:pt>
                <c:pt idx="23">
                  <c:v>75.538894020945236</c:v>
                </c:pt>
                <c:pt idx="24">
                  <c:v>76.020462046732973</c:v>
                </c:pt>
                <c:pt idx="25">
                  <c:v>76.542892924782237</c:v>
                </c:pt>
                <c:pt idx="26">
                  <c:v>74.419920435881096</c:v>
                </c:pt>
                <c:pt idx="27">
                  <c:v>72.324801645764083</c:v>
                </c:pt>
                <c:pt idx="28">
                  <c:v>70.24064632225587</c:v>
                </c:pt>
                <c:pt idx="29">
                  <c:v>68.184958774848027</c:v>
                </c:pt>
                <c:pt idx="30">
                  <c:v>67.293690859519771</c:v>
                </c:pt>
                <c:pt idx="31">
                  <c:v>67.62541865001316</c:v>
                </c:pt>
                <c:pt idx="32">
                  <c:v>67.990896492118125</c:v>
                </c:pt>
                <c:pt idx="33">
                  <c:v>68.38821081947502</c:v>
                </c:pt>
                <c:pt idx="34">
                  <c:v>68.82178476224756</c:v>
                </c:pt>
                <c:pt idx="35">
                  <c:v>69.310843311365758</c:v>
                </c:pt>
                <c:pt idx="36">
                  <c:v>69.835514728969443</c:v>
                </c:pt>
                <c:pt idx="37">
                  <c:v>70.407688443503332</c:v>
                </c:pt>
                <c:pt idx="38">
                  <c:v>70.992036433518251</c:v>
                </c:pt>
                <c:pt idx="39">
                  <c:v>71.628071231646388</c:v>
                </c:pt>
                <c:pt idx="40">
                  <c:v>72.320162938532434</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104.75474037198225</c:v>
                </c:pt>
                <c:pt idx="1">
                  <c:v>107.34268074609309</c:v>
                </c:pt>
                <c:pt idx="2">
                  <c:v>108.38898584977827</c:v>
                </c:pt>
                <c:pt idx="3">
                  <c:v>109.77957612966068</c:v>
                </c:pt>
                <c:pt idx="4">
                  <c:v>110.70541702268824</c:v>
                </c:pt>
                <c:pt idx="5">
                  <c:v>111.13164279983746</c:v>
                </c:pt>
                <c:pt idx="6">
                  <c:v>111.14657212336705</c:v>
                </c:pt>
                <c:pt idx="7">
                  <c:v>111.48217523856577</c:v>
                </c:pt>
                <c:pt idx="8">
                  <c:v>108.7554268120047</c:v>
                </c:pt>
                <c:pt idx="9">
                  <c:v>106.72699670564646</c:v>
                </c:pt>
                <c:pt idx="10">
                  <c:v>101.06344703165011</c:v>
                </c:pt>
                <c:pt idx="11">
                  <c:v>91.347015592912086</c:v>
                </c:pt>
                <c:pt idx="12">
                  <c:v>84.104979827855686</c:v>
                </c:pt>
                <c:pt idx="13">
                  <c:v>83.027594209006878</c:v>
                </c:pt>
                <c:pt idx="14">
                  <c:v>81.604265546673517</c:v>
                </c:pt>
                <c:pt idx="15">
                  <c:v>79.393863791539559</c:v>
                </c:pt>
                <c:pt idx="16">
                  <c:v>78.544213770689353</c:v>
                </c:pt>
                <c:pt idx="17">
                  <c:v>77.691730358063538</c:v>
                </c:pt>
                <c:pt idx="18">
                  <c:v>76.858350368646072</c:v>
                </c:pt>
                <c:pt idx="19">
                  <c:v>76.039154925027447</c:v>
                </c:pt>
                <c:pt idx="20">
                  <c:v>75.235193787836593</c:v>
                </c:pt>
                <c:pt idx="21">
                  <c:v>75.17701222946782</c:v>
                </c:pt>
                <c:pt idx="22">
                  <c:v>75.096103015028518</c:v>
                </c:pt>
                <c:pt idx="23">
                  <c:v>75.538894020945236</c:v>
                </c:pt>
                <c:pt idx="24">
                  <c:v>76.020462046732973</c:v>
                </c:pt>
                <c:pt idx="25">
                  <c:v>76.542892924782237</c:v>
                </c:pt>
                <c:pt idx="26">
                  <c:v>74.419920435881096</c:v>
                </c:pt>
                <c:pt idx="27">
                  <c:v>72.324801645764083</c:v>
                </c:pt>
                <c:pt idx="28">
                  <c:v>70.24064632225587</c:v>
                </c:pt>
                <c:pt idx="29">
                  <c:v>68.184958774848027</c:v>
                </c:pt>
                <c:pt idx="30">
                  <c:v>67.293690859519771</c:v>
                </c:pt>
                <c:pt idx="31">
                  <c:v>67.62541865001316</c:v>
                </c:pt>
                <c:pt idx="32">
                  <c:v>67.990896492118125</c:v>
                </c:pt>
                <c:pt idx="33">
                  <c:v>68.38821081947502</c:v>
                </c:pt>
                <c:pt idx="34">
                  <c:v>68.82178476224756</c:v>
                </c:pt>
                <c:pt idx="35">
                  <c:v>69.310843311365758</c:v>
                </c:pt>
                <c:pt idx="36">
                  <c:v>69.835514728969443</c:v>
                </c:pt>
                <c:pt idx="37">
                  <c:v>70.407688443503332</c:v>
                </c:pt>
                <c:pt idx="38">
                  <c:v>70.992036433518251</c:v>
                </c:pt>
                <c:pt idx="39">
                  <c:v>71.628071231646388</c:v>
                </c:pt>
                <c:pt idx="40">
                  <c:v>72.320162938532434</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22078.911187093639</c:v>
                </c:pt>
                <c:pt idx="9">
                  <c:v>21821.119703014414</c:v>
                </c:pt>
                <c:pt idx="10">
                  <c:v>21524.915508938841</c:v>
                </c:pt>
                <c:pt idx="11">
                  <c:v>21229.254705164996</c:v>
                </c:pt>
                <c:pt idx="12">
                  <c:v>20921.567311794388</c:v>
                </c:pt>
                <c:pt idx="13">
                  <c:v>20618.893537132371</c:v>
                </c:pt>
                <c:pt idx="14">
                  <c:v>20315.579958436225</c:v>
                </c:pt>
                <c:pt idx="15">
                  <c:v>20015.573879479143</c:v>
                </c:pt>
                <c:pt idx="16">
                  <c:v>19717.114361523087</c:v>
                </c:pt>
                <c:pt idx="17">
                  <c:v>19422.379076093777</c:v>
                </c:pt>
                <c:pt idx="18">
                  <c:v>19070.89548668098</c:v>
                </c:pt>
                <c:pt idx="19">
                  <c:v>18732.98526259965</c:v>
                </c:pt>
                <c:pt idx="20">
                  <c:v>18408.66808041976</c:v>
                </c:pt>
                <c:pt idx="21">
                  <c:v>18093.937952799864</c:v>
                </c:pt>
                <c:pt idx="22">
                  <c:v>17788.691337775697</c:v>
                </c:pt>
                <c:pt idx="23">
                  <c:v>17493.475165397602</c:v>
                </c:pt>
                <c:pt idx="24">
                  <c:v>17207.67411989082</c:v>
                </c:pt>
                <c:pt idx="25">
                  <c:v>16930.68694138974</c:v>
                </c:pt>
                <c:pt idx="26">
                  <c:v>16655.611894610629</c:v>
                </c:pt>
                <c:pt idx="27">
                  <c:v>16403.990160354129</c:v>
                </c:pt>
                <c:pt idx="28">
                  <c:v>16171.423782232319</c:v>
                </c:pt>
                <c:pt idx="29">
                  <c:v>15957.641784688163</c:v>
                </c:pt>
                <c:pt idx="30">
                  <c:v>15762.26180444421</c:v>
                </c:pt>
                <c:pt idx="31">
                  <c:v>15578.555489201801</c:v>
                </c:pt>
                <c:pt idx="32">
                  <c:v>15403.528089043777</c:v>
                </c:pt>
                <c:pt idx="33">
                  <c:v>15237.073182931072</c:v>
                </c:pt>
                <c:pt idx="34">
                  <c:v>15079.031210306264</c:v>
                </c:pt>
                <c:pt idx="35">
                  <c:v>14929.702838803894</c:v>
                </c:pt>
                <c:pt idx="36">
                  <c:v>14782.081058864349</c:v>
                </c:pt>
                <c:pt idx="37">
                  <c:v>14642.562575216998</c:v>
                </c:pt>
                <c:pt idx="38">
                  <c:v>14516.459719775956</c:v>
                </c:pt>
                <c:pt idx="39">
                  <c:v>14404.003588947309</c:v>
                </c:pt>
                <c:pt idx="40">
                  <c:v>14305.084604470037</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22128.562368642764</c:v>
                </c:pt>
                <c:pt idx="9">
                  <c:v>21930.271332140495</c:v>
                </c:pt>
                <c:pt idx="10">
                  <c:v>21757.636557471822</c:v>
                </c:pt>
                <c:pt idx="11">
                  <c:v>21652.636030948182</c:v>
                </c:pt>
                <c:pt idx="12">
                  <c:v>21312.421858281785</c:v>
                </c:pt>
                <c:pt idx="13">
                  <c:v>20861.497670763485</c:v>
                </c:pt>
                <c:pt idx="14">
                  <c:v>20436.459424778128</c:v>
                </c:pt>
                <c:pt idx="15">
                  <c:v>20036.011796137504</c:v>
                </c:pt>
                <c:pt idx="16">
                  <c:v>19651.292925373818</c:v>
                </c:pt>
                <c:pt idx="17">
                  <c:v>19287.291483779678</c:v>
                </c:pt>
                <c:pt idx="18">
                  <c:v>18942.726950369659</c:v>
                </c:pt>
                <c:pt idx="19">
                  <c:v>18616.270764468114</c:v>
                </c:pt>
                <c:pt idx="20">
                  <c:v>18306.51662058994</c:v>
                </c:pt>
                <c:pt idx="21">
                  <c:v>17910.077658437382</c:v>
                </c:pt>
                <c:pt idx="22">
                  <c:v>17523.02460841577</c:v>
                </c:pt>
                <c:pt idx="23">
                  <c:v>17160.703952792632</c:v>
                </c:pt>
                <c:pt idx="24">
                  <c:v>16820.080930692598</c:v>
                </c:pt>
                <c:pt idx="25">
                  <c:v>16500.022238871847</c:v>
                </c:pt>
                <c:pt idx="26">
                  <c:v>16192.486407042355</c:v>
                </c:pt>
                <c:pt idx="27">
                  <c:v>15903.327585851937</c:v>
                </c:pt>
                <c:pt idx="28">
                  <c:v>15631.584726487545</c:v>
                </c:pt>
                <c:pt idx="29">
                  <c:v>15376.544695670253</c:v>
                </c:pt>
                <c:pt idx="30">
                  <c:v>15137.661976130954</c:v>
                </c:pt>
                <c:pt idx="31">
                  <c:v>14912.976901667549</c:v>
                </c:pt>
                <c:pt idx="32">
                  <c:v>14706.236852850854</c:v>
                </c:pt>
                <c:pt idx="33">
                  <c:v>14516.746799002976</c:v>
                </c:pt>
                <c:pt idx="34">
                  <c:v>14343.780717420035</c:v>
                </c:pt>
                <c:pt idx="35">
                  <c:v>14187.111429914643</c:v>
                </c:pt>
                <c:pt idx="36">
                  <c:v>14039.041404476651</c:v>
                </c:pt>
                <c:pt idx="37">
                  <c:v>13905.762515841045</c:v>
                </c:pt>
                <c:pt idx="38">
                  <c:v>13786.063487316951</c:v>
                </c:pt>
                <c:pt idx="39">
                  <c:v>13679.889230322973</c:v>
                </c:pt>
                <c:pt idx="40">
                  <c:v>13586.925661114316</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22066.316681604425</c:v>
                </c:pt>
                <c:pt idx="9">
                  <c:v>21796.878457386501</c:v>
                </c:pt>
                <c:pt idx="10">
                  <c:v>21536.082034230996</c:v>
                </c:pt>
                <c:pt idx="11">
                  <c:v>21287.023892414974</c:v>
                </c:pt>
                <c:pt idx="12">
                  <c:v>20810.61090803914</c:v>
                </c:pt>
                <c:pt idx="13">
                  <c:v>20357.771720827295</c:v>
                </c:pt>
                <c:pt idx="14">
                  <c:v>19930.894174042682</c:v>
                </c:pt>
                <c:pt idx="15">
                  <c:v>19528.533245099836</c:v>
                </c:pt>
                <c:pt idx="16">
                  <c:v>19141.538952218521</c:v>
                </c:pt>
                <c:pt idx="17">
                  <c:v>18775.29069373649</c:v>
                </c:pt>
                <c:pt idx="18">
                  <c:v>18428.374265280894</c:v>
                </c:pt>
                <c:pt idx="19">
                  <c:v>18099.491712047471</c:v>
                </c:pt>
                <c:pt idx="20">
                  <c:v>17787.229201448379</c:v>
                </c:pt>
                <c:pt idx="21">
                  <c:v>17387.768120305445</c:v>
                </c:pt>
                <c:pt idx="22">
                  <c:v>16997.834947156214</c:v>
                </c:pt>
                <c:pt idx="23">
                  <c:v>16632.30324569486</c:v>
                </c:pt>
                <c:pt idx="24">
                  <c:v>16288.238146484551</c:v>
                </c:pt>
                <c:pt idx="25">
                  <c:v>15964.492401858179</c:v>
                </c:pt>
                <c:pt idx="26">
                  <c:v>15653.155479936913</c:v>
                </c:pt>
                <c:pt idx="27">
                  <c:v>15360.028041741676</c:v>
                </c:pt>
                <c:pt idx="28">
                  <c:v>15084.252274111783</c:v>
                </c:pt>
                <c:pt idx="29">
                  <c:v>14825.008462278365</c:v>
                </c:pt>
                <c:pt idx="30">
                  <c:v>14581.658645608419</c:v>
                </c:pt>
                <c:pt idx="31">
                  <c:v>14352.3180614595</c:v>
                </c:pt>
                <c:pt idx="32">
                  <c:v>14140.719330131125</c:v>
                </c:pt>
                <c:pt idx="33">
                  <c:v>13946.179862980394</c:v>
                </c:pt>
                <c:pt idx="34">
                  <c:v>13767.946387581267</c:v>
                </c:pt>
                <c:pt idx="35">
                  <c:v>13605.67801995789</c:v>
                </c:pt>
                <c:pt idx="36">
                  <c:v>13451.728105963357</c:v>
                </c:pt>
                <c:pt idx="37">
                  <c:v>13312.284795021758</c:v>
                </c:pt>
                <c:pt idx="38">
                  <c:v>13186.348269662725</c:v>
                </c:pt>
                <c:pt idx="39">
                  <c:v>13073.625430698528</c:v>
                </c:pt>
                <c:pt idx="40">
                  <c:v>12973.777678071365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22078.911187093639</c:v>
                </c:pt>
                <c:pt idx="9">
                  <c:v>21821.119703014414</c:v>
                </c:pt>
                <c:pt idx="10">
                  <c:v>21524.915508938841</c:v>
                </c:pt>
                <c:pt idx="11">
                  <c:v>21229.254705164996</c:v>
                </c:pt>
                <c:pt idx="12">
                  <c:v>20921.567311794388</c:v>
                </c:pt>
                <c:pt idx="13">
                  <c:v>20618.893537132371</c:v>
                </c:pt>
                <c:pt idx="14">
                  <c:v>20315.579958436225</c:v>
                </c:pt>
                <c:pt idx="15">
                  <c:v>20015.573879479143</c:v>
                </c:pt>
                <c:pt idx="16">
                  <c:v>19717.114361523087</c:v>
                </c:pt>
                <c:pt idx="17">
                  <c:v>19422.379076093777</c:v>
                </c:pt>
                <c:pt idx="18">
                  <c:v>19070.89548668098</c:v>
                </c:pt>
                <c:pt idx="19">
                  <c:v>18732.98526259965</c:v>
                </c:pt>
                <c:pt idx="20">
                  <c:v>18408.66808041976</c:v>
                </c:pt>
                <c:pt idx="21">
                  <c:v>18093.937952799864</c:v>
                </c:pt>
                <c:pt idx="22">
                  <c:v>17788.691337775697</c:v>
                </c:pt>
                <c:pt idx="23">
                  <c:v>17493.475165397602</c:v>
                </c:pt>
                <c:pt idx="24">
                  <c:v>17207.67411989082</c:v>
                </c:pt>
                <c:pt idx="25">
                  <c:v>16930.68694138974</c:v>
                </c:pt>
                <c:pt idx="26">
                  <c:v>16655.611894610629</c:v>
                </c:pt>
                <c:pt idx="27">
                  <c:v>16403.990160354129</c:v>
                </c:pt>
                <c:pt idx="28">
                  <c:v>16171.423782232319</c:v>
                </c:pt>
                <c:pt idx="29">
                  <c:v>15957.641784688163</c:v>
                </c:pt>
                <c:pt idx="30">
                  <c:v>15762.26180444421</c:v>
                </c:pt>
                <c:pt idx="31">
                  <c:v>15578.555489201801</c:v>
                </c:pt>
                <c:pt idx="32">
                  <c:v>15403.528089043777</c:v>
                </c:pt>
                <c:pt idx="33">
                  <c:v>15237.073182931072</c:v>
                </c:pt>
                <c:pt idx="34">
                  <c:v>15079.031210306264</c:v>
                </c:pt>
                <c:pt idx="35">
                  <c:v>14929.702838803894</c:v>
                </c:pt>
                <c:pt idx="36">
                  <c:v>14782.081058864349</c:v>
                </c:pt>
                <c:pt idx="37">
                  <c:v>14642.562575216998</c:v>
                </c:pt>
                <c:pt idx="38">
                  <c:v>14516.459719775956</c:v>
                </c:pt>
                <c:pt idx="39">
                  <c:v>14404.003588947309</c:v>
                </c:pt>
                <c:pt idx="40">
                  <c:v>14305.084604470037</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22128.562368642764</c:v>
                </c:pt>
                <c:pt idx="9">
                  <c:v>21930.271332140495</c:v>
                </c:pt>
                <c:pt idx="10">
                  <c:v>21757.636557471822</c:v>
                </c:pt>
                <c:pt idx="11">
                  <c:v>21652.636030948182</c:v>
                </c:pt>
                <c:pt idx="12">
                  <c:v>21312.421858281785</c:v>
                </c:pt>
                <c:pt idx="13">
                  <c:v>20861.497670763485</c:v>
                </c:pt>
                <c:pt idx="14">
                  <c:v>20436.459424778128</c:v>
                </c:pt>
                <c:pt idx="15">
                  <c:v>20036.011796137504</c:v>
                </c:pt>
                <c:pt idx="16">
                  <c:v>19651.292925373818</c:v>
                </c:pt>
                <c:pt idx="17">
                  <c:v>19287.291483779678</c:v>
                </c:pt>
                <c:pt idx="18">
                  <c:v>18942.726950369659</c:v>
                </c:pt>
                <c:pt idx="19">
                  <c:v>18616.270764468114</c:v>
                </c:pt>
                <c:pt idx="20">
                  <c:v>18306.51662058994</c:v>
                </c:pt>
                <c:pt idx="21">
                  <c:v>17910.077658437382</c:v>
                </c:pt>
                <c:pt idx="22">
                  <c:v>17523.02460841577</c:v>
                </c:pt>
                <c:pt idx="23">
                  <c:v>17160.703952792632</c:v>
                </c:pt>
                <c:pt idx="24">
                  <c:v>16820.080930692598</c:v>
                </c:pt>
                <c:pt idx="25">
                  <c:v>16500.022238871847</c:v>
                </c:pt>
                <c:pt idx="26">
                  <c:v>16192.486407042355</c:v>
                </c:pt>
                <c:pt idx="27">
                  <c:v>15903.327585851937</c:v>
                </c:pt>
                <c:pt idx="28">
                  <c:v>15631.584726487545</c:v>
                </c:pt>
                <c:pt idx="29">
                  <c:v>15376.544695670253</c:v>
                </c:pt>
                <c:pt idx="30">
                  <c:v>15137.661976130954</c:v>
                </c:pt>
                <c:pt idx="31">
                  <c:v>14912.976901667549</c:v>
                </c:pt>
                <c:pt idx="32">
                  <c:v>14706.236852850854</c:v>
                </c:pt>
                <c:pt idx="33">
                  <c:v>14516.746799002976</c:v>
                </c:pt>
                <c:pt idx="34">
                  <c:v>14343.780717420035</c:v>
                </c:pt>
                <c:pt idx="35">
                  <c:v>14187.111429914643</c:v>
                </c:pt>
                <c:pt idx="36">
                  <c:v>14039.041404476651</c:v>
                </c:pt>
                <c:pt idx="37">
                  <c:v>13905.762515841045</c:v>
                </c:pt>
                <c:pt idx="38">
                  <c:v>13786.063487316951</c:v>
                </c:pt>
                <c:pt idx="39">
                  <c:v>13679.889230322973</c:v>
                </c:pt>
                <c:pt idx="40">
                  <c:v>13586.925661114316</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22066.316681604425</c:v>
                </c:pt>
                <c:pt idx="9">
                  <c:v>21796.878457386501</c:v>
                </c:pt>
                <c:pt idx="10">
                  <c:v>21536.082034230996</c:v>
                </c:pt>
                <c:pt idx="11">
                  <c:v>21287.023892414974</c:v>
                </c:pt>
                <c:pt idx="12">
                  <c:v>20810.61090803914</c:v>
                </c:pt>
                <c:pt idx="13">
                  <c:v>20357.771720827295</c:v>
                </c:pt>
                <c:pt idx="14">
                  <c:v>19930.894174042682</c:v>
                </c:pt>
                <c:pt idx="15">
                  <c:v>19528.533245099836</c:v>
                </c:pt>
                <c:pt idx="16">
                  <c:v>19141.538952218521</c:v>
                </c:pt>
                <c:pt idx="17">
                  <c:v>18775.29069373649</c:v>
                </c:pt>
                <c:pt idx="18">
                  <c:v>18428.374265280894</c:v>
                </c:pt>
                <c:pt idx="19">
                  <c:v>18099.491712047471</c:v>
                </c:pt>
                <c:pt idx="20">
                  <c:v>17787.229201448379</c:v>
                </c:pt>
                <c:pt idx="21">
                  <c:v>17387.768120305445</c:v>
                </c:pt>
                <c:pt idx="22">
                  <c:v>16997.834947156214</c:v>
                </c:pt>
                <c:pt idx="23">
                  <c:v>16632.30324569486</c:v>
                </c:pt>
                <c:pt idx="24">
                  <c:v>16288.238146484551</c:v>
                </c:pt>
                <c:pt idx="25">
                  <c:v>15964.492401858179</c:v>
                </c:pt>
                <c:pt idx="26">
                  <c:v>15653.155479936913</c:v>
                </c:pt>
                <c:pt idx="27">
                  <c:v>15360.028041741676</c:v>
                </c:pt>
                <c:pt idx="28">
                  <c:v>15084.252274111783</c:v>
                </c:pt>
                <c:pt idx="29">
                  <c:v>14825.008462278365</c:v>
                </c:pt>
                <c:pt idx="30">
                  <c:v>14581.658645608419</c:v>
                </c:pt>
                <c:pt idx="31">
                  <c:v>14352.3180614595</c:v>
                </c:pt>
                <c:pt idx="32">
                  <c:v>14140.719330131125</c:v>
                </c:pt>
                <c:pt idx="33">
                  <c:v>13946.179862980394</c:v>
                </c:pt>
                <c:pt idx="34">
                  <c:v>13767.946387581267</c:v>
                </c:pt>
                <c:pt idx="35">
                  <c:v>13605.67801995789</c:v>
                </c:pt>
                <c:pt idx="36">
                  <c:v>13451.728105963357</c:v>
                </c:pt>
                <c:pt idx="37">
                  <c:v>13312.284795021758</c:v>
                </c:pt>
                <c:pt idx="38">
                  <c:v>13186.348269662725</c:v>
                </c:pt>
                <c:pt idx="39">
                  <c:v>13073.625430698528</c:v>
                </c:pt>
                <c:pt idx="40">
                  <c:v>12973.777678071365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0.30318140871594546</c:v>
                </c:pt>
                <c:pt idx="9">
                  <c:v>0.32008929644867795</c:v>
                </c:pt>
                <c:pt idx="10">
                  <c:v>0.32784550475766222</c:v>
                </c:pt>
                <c:pt idx="11">
                  <c:v>0.34685026204632513</c:v>
                </c:pt>
                <c:pt idx="12">
                  <c:v>0.3655138378497616</c:v>
                </c:pt>
                <c:pt idx="13">
                  <c:v>0.38470960212142652</c:v>
                </c:pt>
                <c:pt idx="14">
                  <c:v>0.40387901287645056</c:v>
                </c:pt>
                <c:pt idx="15">
                  <c:v>0.42268646425211975</c:v>
                </c:pt>
                <c:pt idx="16">
                  <c:v>0.44300089581504748</c:v>
                </c:pt>
                <c:pt idx="17">
                  <c:v>0.46342054466406563</c:v>
                </c:pt>
                <c:pt idx="18">
                  <c:v>0.48131135883630555</c:v>
                </c:pt>
                <c:pt idx="19">
                  <c:v>0.49942483873660343</c:v>
                </c:pt>
                <c:pt idx="20">
                  <c:v>0.51771080495467514</c:v>
                </c:pt>
                <c:pt idx="21">
                  <c:v>0.52967577163489288</c:v>
                </c:pt>
                <c:pt idx="22">
                  <c:v>0.5415267169491248</c:v>
                </c:pt>
                <c:pt idx="23">
                  <c:v>0.5537026580901574</c:v>
                </c:pt>
                <c:pt idx="24">
                  <c:v>0.5660901418647214</c:v>
                </c:pt>
                <c:pt idx="25">
                  <c:v>0.57868022807681041</c:v>
                </c:pt>
                <c:pt idx="26">
                  <c:v>0.58846403021361093</c:v>
                </c:pt>
                <c:pt idx="27">
                  <c:v>0.59736581721688509</c:v>
                </c:pt>
                <c:pt idx="28">
                  <c:v>0.60676770553391246</c:v>
                </c:pt>
                <c:pt idx="29">
                  <c:v>0.61629609956486708</c:v>
                </c:pt>
                <c:pt idx="30">
                  <c:v>0.6260204597681035</c:v>
                </c:pt>
                <c:pt idx="31">
                  <c:v>0.64147845603781961</c:v>
                </c:pt>
                <c:pt idx="32">
                  <c:v>0.65685734130558426</c:v>
                </c:pt>
                <c:pt idx="33">
                  <c:v>0.67211352109214584</c:v>
                </c:pt>
                <c:pt idx="34">
                  <c:v>0.68723401290869057</c:v>
                </c:pt>
                <c:pt idx="35">
                  <c:v>0.7022669779267493</c:v>
                </c:pt>
                <c:pt idx="36">
                  <c:v>0.71709507005342354</c:v>
                </c:pt>
                <c:pt idx="37">
                  <c:v>0.73172524035672504</c:v>
                </c:pt>
                <c:pt idx="38">
                  <c:v>0.74437652795579423</c:v>
                </c:pt>
                <c:pt idx="39">
                  <c:v>0.75669995145792956</c:v>
                </c:pt>
                <c:pt idx="40">
                  <c:v>0.7686864093782273</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0.30318140871594546</c:v>
                </c:pt>
                <c:pt idx="9">
                  <c:v>0.32008929644867795</c:v>
                </c:pt>
                <c:pt idx="10">
                  <c:v>0.32784550475766222</c:v>
                </c:pt>
                <c:pt idx="11">
                  <c:v>0.34685026204632513</c:v>
                </c:pt>
                <c:pt idx="12">
                  <c:v>0.3655138378497616</c:v>
                </c:pt>
                <c:pt idx="13">
                  <c:v>0.38470960212142652</c:v>
                </c:pt>
                <c:pt idx="14">
                  <c:v>0.40387901287645056</c:v>
                </c:pt>
                <c:pt idx="15">
                  <c:v>0.42268646425211975</c:v>
                </c:pt>
                <c:pt idx="16">
                  <c:v>0.44300089581504748</c:v>
                </c:pt>
                <c:pt idx="17">
                  <c:v>0.46342054466406563</c:v>
                </c:pt>
                <c:pt idx="18">
                  <c:v>0.48131135883630555</c:v>
                </c:pt>
                <c:pt idx="19">
                  <c:v>0.49942483873660343</c:v>
                </c:pt>
                <c:pt idx="20">
                  <c:v>0.51771080495467514</c:v>
                </c:pt>
                <c:pt idx="21">
                  <c:v>0.52967577163489288</c:v>
                </c:pt>
                <c:pt idx="22">
                  <c:v>0.5415267169491248</c:v>
                </c:pt>
                <c:pt idx="23">
                  <c:v>0.5537026580901574</c:v>
                </c:pt>
                <c:pt idx="24">
                  <c:v>0.5660901418647214</c:v>
                </c:pt>
                <c:pt idx="25">
                  <c:v>0.57868022807681041</c:v>
                </c:pt>
                <c:pt idx="26">
                  <c:v>0.58846403021361093</c:v>
                </c:pt>
                <c:pt idx="27">
                  <c:v>0.59736581721688509</c:v>
                </c:pt>
                <c:pt idx="28">
                  <c:v>0.60676770553391246</c:v>
                </c:pt>
                <c:pt idx="29">
                  <c:v>0.61629609956486708</c:v>
                </c:pt>
                <c:pt idx="30">
                  <c:v>0.6260204597681035</c:v>
                </c:pt>
                <c:pt idx="31">
                  <c:v>0.64147845603781961</c:v>
                </c:pt>
                <c:pt idx="32">
                  <c:v>0.65685734130558426</c:v>
                </c:pt>
                <c:pt idx="33">
                  <c:v>0.67211352109214584</c:v>
                </c:pt>
                <c:pt idx="34">
                  <c:v>0.68723401290869057</c:v>
                </c:pt>
                <c:pt idx="35">
                  <c:v>0.7022669779267493</c:v>
                </c:pt>
                <c:pt idx="36">
                  <c:v>0.71709507005342354</c:v>
                </c:pt>
                <c:pt idx="37">
                  <c:v>0.73172524035672504</c:v>
                </c:pt>
                <c:pt idx="38">
                  <c:v>0.74437652795579423</c:v>
                </c:pt>
                <c:pt idx="39">
                  <c:v>0.75669995145792956</c:v>
                </c:pt>
                <c:pt idx="40">
                  <c:v>0.7686864093782273</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0.31213800301919209</c:v>
                </c:pt>
                <c:pt idx="9">
                  <c:v>0.33634844273691999</c:v>
                </c:pt>
                <c:pt idx="10">
                  <c:v>0.36215477056092171</c:v>
                </c:pt>
                <c:pt idx="11">
                  <c:v>0.43370413130380214</c:v>
                </c:pt>
                <c:pt idx="12">
                  <c:v>0.49260328595635877</c:v>
                </c:pt>
                <c:pt idx="13">
                  <c:v>0.51534895181328266</c:v>
                </c:pt>
                <c:pt idx="14">
                  <c:v>0.5391129041020245</c:v>
                </c:pt>
                <c:pt idx="15">
                  <c:v>0.56579255878814827</c:v>
                </c:pt>
                <c:pt idx="16">
                  <c:v>0.58776150564330831</c:v>
                </c:pt>
                <c:pt idx="17">
                  <c:v>0.60953628978376417</c:v>
                </c:pt>
                <c:pt idx="18">
                  <c:v>0.63121814481697958</c:v>
                </c:pt>
                <c:pt idx="19">
                  <c:v>0.65276521430474455</c:v>
                </c:pt>
                <c:pt idx="20">
                  <c:v>0.67416545444659792</c:v>
                </c:pt>
                <c:pt idx="21">
                  <c:v>0.67980919561968878</c:v>
                </c:pt>
                <c:pt idx="22">
                  <c:v>0.68536648498107522</c:v>
                </c:pt>
                <c:pt idx="23">
                  <c:v>0.68865264375876378</c:v>
                </c:pt>
                <c:pt idx="24">
                  <c:v>0.69205765911572981</c:v>
                </c:pt>
                <c:pt idx="25">
                  <c:v>0.69558240826305195</c:v>
                </c:pt>
                <c:pt idx="26">
                  <c:v>0.70975451598294426</c:v>
                </c:pt>
                <c:pt idx="27">
                  <c:v>0.72486494157885706</c:v>
                </c:pt>
                <c:pt idx="28">
                  <c:v>0.74091737223920506</c:v>
                </c:pt>
                <c:pt idx="29">
                  <c:v>0.75805259371141709</c:v>
                </c:pt>
                <c:pt idx="30">
                  <c:v>0.76347336858080095</c:v>
                </c:pt>
                <c:pt idx="31">
                  <c:v>0.76463361953968378</c:v>
                </c:pt>
                <c:pt idx="32">
                  <c:v>0.76589880651724729</c:v>
                </c:pt>
                <c:pt idx="33">
                  <c:v>0.76725886195819992</c:v>
                </c:pt>
                <c:pt idx="34">
                  <c:v>0.76872511996378301</c:v>
                </c:pt>
                <c:pt idx="35">
                  <c:v>0.7703569996506292</c:v>
                </c:pt>
                <c:pt idx="36">
                  <c:v>0.77208229828991981</c:v>
                </c:pt>
                <c:pt idx="37">
                  <c:v>0.77393448973205392</c:v>
                </c:pt>
                <c:pt idx="38">
                  <c:v>0.7757952748732222</c:v>
                </c:pt>
                <c:pt idx="39">
                  <c:v>0.77778614248466738</c:v>
                </c:pt>
                <c:pt idx="40">
                  <c:v>0.77991269145375974</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0.31213800301919209</c:v>
                </c:pt>
                <c:pt idx="9">
                  <c:v>0.33634844273691999</c:v>
                </c:pt>
                <c:pt idx="10">
                  <c:v>0.36215477056092171</c:v>
                </c:pt>
                <c:pt idx="11">
                  <c:v>0.43370413130380214</c:v>
                </c:pt>
                <c:pt idx="12">
                  <c:v>0.49260328595635877</c:v>
                </c:pt>
                <c:pt idx="13">
                  <c:v>0.51534895181328266</c:v>
                </c:pt>
                <c:pt idx="14">
                  <c:v>0.5391129041020245</c:v>
                </c:pt>
                <c:pt idx="15">
                  <c:v>0.56579255878814827</c:v>
                </c:pt>
                <c:pt idx="16">
                  <c:v>0.58776150564330831</c:v>
                </c:pt>
                <c:pt idx="17">
                  <c:v>0.60953628978376417</c:v>
                </c:pt>
                <c:pt idx="18">
                  <c:v>0.63121814481697958</c:v>
                </c:pt>
                <c:pt idx="19">
                  <c:v>0.65276521430474455</c:v>
                </c:pt>
                <c:pt idx="20">
                  <c:v>0.67416545444659792</c:v>
                </c:pt>
                <c:pt idx="21">
                  <c:v>0.67980919561968878</c:v>
                </c:pt>
                <c:pt idx="22">
                  <c:v>0.68536648498107522</c:v>
                </c:pt>
                <c:pt idx="23">
                  <c:v>0.68865264375876378</c:v>
                </c:pt>
                <c:pt idx="24">
                  <c:v>0.69205765911572981</c:v>
                </c:pt>
                <c:pt idx="25">
                  <c:v>0.69558240826305195</c:v>
                </c:pt>
                <c:pt idx="26">
                  <c:v>0.70975451598294426</c:v>
                </c:pt>
                <c:pt idx="27">
                  <c:v>0.72486494157885706</c:v>
                </c:pt>
                <c:pt idx="28">
                  <c:v>0.74091737223920506</c:v>
                </c:pt>
                <c:pt idx="29">
                  <c:v>0.75805259371141709</c:v>
                </c:pt>
                <c:pt idx="30">
                  <c:v>0.76347336858080095</c:v>
                </c:pt>
                <c:pt idx="31">
                  <c:v>0.76463361953968378</c:v>
                </c:pt>
                <c:pt idx="32">
                  <c:v>0.76589880651724729</c:v>
                </c:pt>
                <c:pt idx="33">
                  <c:v>0.76725886195819992</c:v>
                </c:pt>
                <c:pt idx="34">
                  <c:v>0.76872511996378301</c:v>
                </c:pt>
                <c:pt idx="35">
                  <c:v>0.7703569996506292</c:v>
                </c:pt>
                <c:pt idx="36">
                  <c:v>0.77208229828991981</c:v>
                </c:pt>
                <c:pt idx="37">
                  <c:v>0.77393448973205392</c:v>
                </c:pt>
                <c:pt idx="38">
                  <c:v>0.7757952748732222</c:v>
                </c:pt>
                <c:pt idx="39">
                  <c:v>0.77778614248466738</c:v>
                </c:pt>
                <c:pt idx="40">
                  <c:v>0.77991269145375974</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0.31213800301919209</c:v>
                </c:pt>
                <c:pt idx="9">
                  <c:v>0.33634844273691999</c:v>
                </c:pt>
                <c:pt idx="10">
                  <c:v>0.36215477056092171</c:v>
                </c:pt>
                <c:pt idx="11">
                  <c:v>0.43370413130380214</c:v>
                </c:pt>
                <c:pt idx="12">
                  <c:v>0.49260328595635877</c:v>
                </c:pt>
                <c:pt idx="13">
                  <c:v>0.51534895181328266</c:v>
                </c:pt>
                <c:pt idx="14">
                  <c:v>0.5391129041020245</c:v>
                </c:pt>
                <c:pt idx="15">
                  <c:v>0.56579255878814827</c:v>
                </c:pt>
                <c:pt idx="16">
                  <c:v>0.58776150564330831</c:v>
                </c:pt>
                <c:pt idx="17">
                  <c:v>0.60953628978376417</c:v>
                </c:pt>
                <c:pt idx="18">
                  <c:v>0.63121814481697958</c:v>
                </c:pt>
                <c:pt idx="19">
                  <c:v>0.65276521430474455</c:v>
                </c:pt>
                <c:pt idx="20">
                  <c:v>0.67416545444659792</c:v>
                </c:pt>
                <c:pt idx="21">
                  <c:v>0.67980919561968878</c:v>
                </c:pt>
                <c:pt idx="22">
                  <c:v>0.68536648498107522</c:v>
                </c:pt>
                <c:pt idx="23">
                  <c:v>0.68865264375876378</c:v>
                </c:pt>
                <c:pt idx="24">
                  <c:v>0.69205765911572981</c:v>
                </c:pt>
                <c:pt idx="25">
                  <c:v>0.69558240826305195</c:v>
                </c:pt>
                <c:pt idx="26">
                  <c:v>0.70975451598294426</c:v>
                </c:pt>
                <c:pt idx="27">
                  <c:v>0.72486494157885706</c:v>
                </c:pt>
                <c:pt idx="28">
                  <c:v>0.74091737223920506</c:v>
                </c:pt>
                <c:pt idx="29">
                  <c:v>0.75805259371141709</c:v>
                </c:pt>
                <c:pt idx="30">
                  <c:v>0.76347336858080095</c:v>
                </c:pt>
                <c:pt idx="31">
                  <c:v>0.76463361953968378</c:v>
                </c:pt>
                <c:pt idx="32">
                  <c:v>0.76589880651724729</c:v>
                </c:pt>
                <c:pt idx="33">
                  <c:v>0.76725886195819992</c:v>
                </c:pt>
                <c:pt idx="34">
                  <c:v>0.76872511996378301</c:v>
                </c:pt>
                <c:pt idx="35">
                  <c:v>0.7703569996506292</c:v>
                </c:pt>
                <c:pt idx="36">
                  <c:v>0.77208229828991981</c:v>
                </c:pt>
                <c:pt idx="37">
                  <c:v>0.77393448973205392</c:v>
                </c:pt>
                <c:pt idx="38">
                  <c:v>0.7757952748732222</c:v>
                </c:pt>
                <c:pt idx="39">
                  <c:v>0.77778614248466738</c:v>
                </c:pt>
                <c:pt idx="40">
                  <c:v>0.77991269145375974</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0.20921897453514887</c:v>
                </c:pt>
                <c:pt idx="1">
                  <c:v>0.22745568833101273</c:v>
                </c:pt>
                <c:pt idx="2">
                  <c:v>0.24497296064530694</c:v>
                </c:pt>
                <c:pt idx="3">
                  <c:v>0.25418746923932545</c:v>
                </c:pt>
                <c:pt idx="4">
                  <c:v>0.26286468030220433</c:v>
                </c:pt>
                <c:pt idx="5">
                  <c:v>0.27112279064447498</c:v>
                </c:pt>
                <c:pt idx="6">
                  <c:v>0.27900772765592857</c:v>
                </c:pt>
                <c:pt idx="7">
                  <c:v>0.28613027236389205</c:v>
                </c:pt>
                <c:pt idx="8">
                  <c:v>0.31213800301919209</c:v>
                </c:pt>
                <c:pt idx="9">
                  <c:v>0.33634844273691999</c:v>
                </c:pt>
                <c:pt idx="10">
                  <c:v>0.36215477056092171</c:v>
                </c:pt>
                <c:pt idx="11">
                  <c:v>0.43370413130380214</c:v>
                </c:pt>
                <c:pt idx="12">
                  <c:v>0.49260328595635877</c:v>
                </c:pt>
                <c:pt idx="13">
                  <c:v>0.51534895181328266</c:v>
                </c:pt>
                <c:pt idx="14">
                  <c:v>0.5391129041020245</c:v>
                </c:pt>
                <c:pt idx="15">
                  <c:v>0.56579255878814827</c:v>
                </c:pt>
                <c:pt idx="16">
                  <c:v>0.58776150564330831</c:v>
                </c:pt>
                <c:pt idx="17">
                  <c:v>0.60953628978376417</c:v>
                </c:pt>
                <c:pt idx="18">
                  <c:v>0.63121814481697958</c:v>
                </c:pt>
                <c:pt idx="19">
                  <c:v>0.65276521430474455</c:v>
                </c:pt>
                <c:pt idx="20">
                  <c:v>0.67416545444659792</c:v>
                </c:pt>
                <c:pt idx="21">
                  <c:v>0.67980919561968878</c:v>
                </c:pt>
                <c:pt idx="22">
                  <c:v>0.68536648498107522</c:v>
                </c:pt>
                <c:pt idx="23">
                  <c:v>0.68865264375876378</c:v>
                </c:pt>
                <c:pt idx="24">
                  <c:v>0.69205765911572981</c:v>
                </c:pt>
                <c:pt idx="25">
                  <c:v>0.69558240826305195</c:v>
                </c:pt>
                <c:pt idx="26">
                  <c:v>0.70975451598294426</c:v>
                </c:pt>
                <c:pt idx="27">
                  <c:v>0.72486494157885706</c:v>
                </c:pt>
                <c:pt idx="28">
                  <c:v>0.74091737223920506</c:v>
                </c:pt>
                <c:pt idx="29">
                  <c:v>0.75805259371141709</c:v>
                </c:pt>
                <c:pt idx="30">
                  <c:v>0.76347336858080095</c:v>
                </c:pt>
                <c:pt idx="31">
                  <c:v>0.76463361953968378</c:v>
                </c:pt>
                <c:pt idx="32">
                  <c:v>0.76589880651724729</c:v>
                </c:pt>
                <c:pt idx="33">
                  <c:v>0.76725886195819992</c:v>
                </c:pt>
                <c:pt idx="34">
                  <c:v>0.76872511996378301</c:v>
                </c:pt>
                <c:pt idx="35">
                  <c:v>0.7703569996506292</c:v>
                </c:pt>
                <c:pt idx="36">
                  <c:v>0.77208229828991981</c:v>
                </c:pt>
                <c:pt idx="37">
                  <c:v>0.77393448973205392</c:v>
                </c:pt>
                <c:pt idx="38">
                  <c:v>0.7757952748732222</c:v>
                </c:pt>
                <c:pt idx="39">
                  <c:v>0.77778614248466738</c:v>
                </c:pt>
                <c:pt idx="40">
                  <c:v>0.77991269145375974</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22078.911187093639</c:v>
                </c:pt>
                <c:pt idx="9">
                  <c:v>21821.119703014414</c:v>
                </c:pt>
                <c:pt idx="10">
                  <c:v>21524.915508938841</c:v>
                </c:pt>
                <c:pt idx="11">
                  <c:v>21229.254705164996</c:v>
                </c:pt>
                <c:pt idx="12">
                  <c:v>20921.567311794388</c:v>
                </c:pt>
                <c:pt idx="13">
                  <c:v>20618.893537132371</c:v>
                </c:pt>
                <c:pt idx="14">
                  <c:v>20315.579958436225</c:v>
                </c:pt>
                <c:pt idx="15">
                  <c:v>20015.573879479143</c:v>
                </c:pt>
                <c:pt idx="16">
                  <c:v>19717.114361523087</c:v>
                </c:pt>
                <c:pt idx="17">
                  <c:v>19422.379076093777</c:v>
                </c:pt>
                <c:pt idx="18">
                  <c:v>19070.89548668098</c:v>
                </c:pt>
                <c:pt idx="19">
                  <c:v>18732.98526259965</c:v>
                </c:pt>
                <c:pt idx="20">
                  <c:v>18408.66808041976</c:v>
                </c:pt>
                <c:pt idx="21">
                  <c:v>18093.937952799864</c:v>
                </c:pt>
                <c:pt idx="22">
                  <c:v>17788.691337775697</c:v>
                </c:pt>
                <c:pt idx="23">
                  <c:v>17493.475165397602</c:v>
                </c:pt>
                <c:pt idx="24">
                  <c:v>17207.67411989082</c:v>
                </c:pt>
                <c:pt idx="25">
                  <c:v>16930.68694138974</c:v>
                </c:pt>
                <c:pt idx="26">
                  <c:v>16655.611894610629</c:v>
                </c:pt>
                <c:pt idx="27">
                  <c:v>16403.990160354129</c:v>
                </c:pt>
                <c:pt idx="28">
                  <c:v>16171.423782232319</c:v>
                </c:pt>
                <c:pt idx="29">
                  <c:v>15957.641784688163</c:v>
                </c:pt>
                <c:pt idx="30">
                  <c:v>15762.26180444421</c:v>
                </c:pt>
                <c:pt idx="31">
                  <c:v>15578.555489201801</c:v>
                </c:pt>
                <c:pt idx="32">
                  <c:v>15403.528089043777</c:v>
                </c:pt>
                <c:pt idx="33">
                  <c:v>15237.073182931072</c:v>
                </c:pt>
                <c:pt idx="34">
                  <c:v>15079.031210306264</c:v>
                </c:pt>
                <c:pt idx="35">
                  <c:v>14929.702838803894</c:v>
                </c:pt>
                <c:pt idx="36">
                  <c:v>14782.081058864349</c:v>
                </c:pt>
                <c:pt idx="37">
                  <c:v>14642.562575216998</c:v>
                </c:pt>
                <c:pt idx="38">
                  <c:v>14516.459719775956</c:v>
                </c:pt>
                <c:pt idx="39">
                  <c:v>14404.003588947309</c:v>
                </c:pt>
                <c:pt idx="40">
                  <c:v>14305.084604470037</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22128.562368642764</c:v>
                </c:pt>
                <c:pt idx="9">
                  <c:v>21930.271332140495</c:v>
                </c:pt>
                <c:pt idx="10">
                  <c:v>21757.636557471822</c:v>
                </c:pt>
                <c:pt idx="11">
                  <c:v>21652.636030948182</c:v>
                </c:pt>
                <c:pt idx="12">
                  <c:v>21312.421858281785</c:v>
                </c:pt>
                <c:pt idx="13">
                  <c:v>20861.497670763485</c:v>
                </c:pt>
                <c:pt idx="14">
                  <c:v>20436.459424778128</c:v>
                </c:pt>
                <c:pt idx="15">
                  <c:v>20036.011796137504</c:v>
                </c:pt>
                <c:pt idx="16">
                  <c:v>19651.292925373818</c:v>
                </c:pt>
                <c:pt idx="17">
                  <c:v>19287.291483779678</c:v>
                </c:pt>
                <c:pt idx="18">
                  <c:v>18942.726950369659</c:v>
                </c:pt>
                <c:pt idx="19">
                  <c:v>18616.270764468114</c:v>
                </c:pt>
                <c:pt idx="20">
                  <c:v>18306.51662058994</c:v>
                </c:pt>
                <c:pt idx="21">
                  <c:v>17910.077658437382</c:v>
                </c:pt>
                <c:pt idx="22">
                  <c:v>17523.02460841577</c:v>
                </c:pt>
                <c:pt idx="23">
                  <c:v>17160.703952792632</c:v>
                </c:pt>
                <c:pt idx="24">
                  <c:v>16820.080930692598</c:v>
                </c:pt>
                <c:pt idx="25">
                  <c:v>16500.022238871847</c:v>
                </c:pt>
                <c:pt idx="26">
                  <c:v>16192.486407042355</c:v>
                </c:pt>
                <c:pt idx="27">
                  <c:v>15903.327585851937</c:v>
                </c:pt>
                <c:pt idx="28">
                  <c:v>15631.584726487545</c:v>
                </c:pt>
                <c:pt idx="29">
                  <c:v>15376.544695670253</c:v>
                </c:pt>
                <c:pt idx="30">
                  <c:v>15137.661976130954</c:v>
                </c:pt>
                <c:pt idx="31">
                  <c:v>14912.976901667549</c:v>
                </c:pt>
                <c:pt idx="32">
                  <c:v>14706.236852850854</c:v>
                </c:pt>
                <c:pt idx="33">
                  <c:v>14516.746799002976</c:v>
                </c:pt>
                <c:pt idx="34">
                  <c:v>14343.780717420035</c:v>
                </c:pt>
                <c:pt idx="35">
                  <c:v>14187.111429914643</c:v>
                </c:pt>
                <c:pt idx="36">
                  <c:v>14039.041404476651</c:v>
                </c:pt>
                <c:pt idx="37">
                  <c:v>13905.762515841045</c:v>
                </c:pt>
                <c:pt idx="38">
                  <c:v>13786.063487316951</c:v>
                </c:pt>
                <c:pt idx="39">
                  <c:v>13679.889230322973</c:v>
                </c:pt>
                <c:pt idx="40">
                  <c:v>13586.925661114316</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22066.316681604425</c:v>
                </c:pt>
                <c:pt idx="9">
                  <c:v>21796.878457386501</c:v>
                </c:pt>
                <c:pt idx="10">
                  <c:v>21536.082034230996</c:v>
                </c:pt>
                <c:pt idx="11">
                  <c:v>21287.023892414974</c:v>
                </c:pt>
                <c:pt idx="12">
                  <c:v>20810.61090803914</c:v>
                </c:pt>
                <c:pt idx="13">
                  <c:v>20357.771720827295</c:v>
                </c:pt>
                <c:pt idx="14">
                  <c:v>19930.894174042682</c:v>
                </c:pt>
                <c:pt idx="15">
                  <c:v>19528.533245099836</c:v>
                </c:pt>
                <c:pt idx="16">
                  <c:v>19141.538952218521</c:v>
                </c:pt>
                <c:pt idx="17">
                  <c:v>18775.29069373649</c:v>
                </c:pt>
                <c:pt idx="18">
                  <c:v>18428.374265280894</c:v>
                </c:pt>
                <c:pt idx="19">
                  <c:v>18099.491712047471</c:v>
                </c:pt>
                <c:pt idx="20">
                  <c:v>17787.229201448379</c:v>
                </c:pt>
                <c:pt idx="21">
                  <c:v>17387.768120305445</c:v>
                </c:pt>
                <c:pt idx="22">
                  <c:v>16997.834947156214</c:v>
                </c:pt>
                <c:pt idx="23">
                  <c:v>16632.30324569486</c:v>
                </c:pt>
                <c:pt idx="24">
                  <c:v>16288.238146484551</c:v>
                </c:pt>
                <c:pt idx="25">
                  <c:v>15964.492401858179</c:v>
                </c:pt>
                <c:pt idx="26">
                  <c:v>15653.155479936913</c:v>
                </c:pt>
                <c:pt idx="27">
                  <c:v>15360.028041741676</c:v>
                </c:pt>
                <c:pt idx="28">
                  <c:v>15084.252274111783</c:v>
                </c:pt>
                <c:pt idx="29">
                  <c:v>14825.008462278365</c:v>
                </c:pt>
                <c:pt idx="30">
                  <c:v>14581.658645608419</c:v>
                </c:pt>
                <c:pt idx="31">
                  <c:v>14352.3180614595</c:v>
                </c:pt>
                <c:pt idx="32">
                  <c:v>14140.719330131125</c:v>
                </c:pt>
                <c:pt idx="33">
                  <c:v>13946.179862980394</c:v>
                </c:pt>
                <c:pt idx="34">
                  <c:v>13767.946387581267</c:v>
                </c:pt>
                <c:pt idx="35">
                  <c:v>13605.67801995789</c:v>
                </c:pt>
                <c:pt idx="36">
                  <c:v>13451.728105963357</c:v>
                </c:pt>
                <c:pt idx="37">
                  <c:v>13312.284795021758</c:v>
                </c:pt>
                <c:pt idx="38">
                  <c:v>13186.348269662725</c:v>
                </c:pt>
                <c:pt idx="39">
                  <c:v>13073.625430698528</c:v>
                </c:pt>
                <c:pt idx="40">
                  <c:v>12973.777678071365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22078.911187093639</c:v>
                </c:pt>
                <c:pt idx="9">
                  <c:v>21821.119703014414</c:v>
                </c:pt>
                <c:pt idx="10">
                  <c:v>21524.915508938841</c:v>
                </c:pt>
                <c:pt idx="11">
                  <c:v>21229.254705164996</c:v>
                </c:pt>
                <c:pt idx="12">
                  <c:v>20921.567311794388</c:v>
                </c:pt>
                <c:pt idx="13">
                  <c:v>20618.893537132371</c:v>
                </c:pt>
                <c:pt idx="14">
                  <c:v>20315.579958436225</c:v>
                </c:pt>
                <c:pt idx="15">
                  <c:v>20015.573879479143</c:v>
                </c:pt>
                <c:pt idx="16">
                  <c:v>19717.114361523087</c:v>
                </c:pt>
                <c:pt idx="17">
                  <c:v>19422.379076093777</c:v>
                </c:pt>
                <c:pt idx="18">
                  <c:v>19070.89548668098</c:v>
                </c:pt>
                <c:pt idx="19">
                  <c:v>18732.98526259965</c:v>
                </c:pt>
                <c:pt idx="20">
                  <c:v>18408.66808041976</c:v>
                </c:pt>
                <c:pt idx="21">
                  <c:v>18093.937952799864</c:v>
                </c:pt>
                <c:pt idx="22">
                  <c:v>17788.691337775697</c:v>
                </c:pt>
                <c:pt idx="23">
                  <c:v>17493.475165397602</c:v>
                </c:pt>
                <c:pt idx="24">
                  <c:v>17207.67411989082</c:v>
                </c:pt>
                <c:pt idx="25">
                  <c:v>16930.68694138974</c:v>
                </c:pt>
                <c:pt idx="26">
                  <c:v>16655.611894610629</c:v>
                </c:pt>
                <c:pt idx="27">
                  <c:v>16403.990160354129</c:v>
                </c:pt>
                <c:pt idx="28">
                  <c:v>16171.423782232319</c:v>
                </c:pt>
                <c:pt idx="29">
                  <c:v>15957.641784688163</c:v>
                </c:pt>
                <c:pt idx="30">
                  <c:v>15762.26180444421</c:v>
                </c:pt>
                <c:pt idx="31">
                  <c:v>15578.555489201801</c:v>
                </c:pt>
                <c:pt idx="32">
                  <c:v>15403.528089043777</c:v>
                </c:pt>
                <c:pt idx="33">
                  <c:v>15237.073182931072</c:v>
                </c:pt>
                <c:pt idx="34">
                  <c:v>15079.031210306264</c:v>
                </c:pt>
                <c:pt idx="35">
                  <c:v>14929.702838803894</c:v>
                </c:pt>
                <c:pt idx="36">
                  <c:v>14782.081058864349</c:v>
                </c:pt>
                <c:pt idx="37">
                  <c:v>14642.562575216998</c:v>
                </c:pt>
                <c:pt idx="38">
                  <c:v>14516.459719775956</c:v>
                </c:pt>
                <c:pt idx="39">
                  <c:v>14404.003588947309</c:v>
                </c:pt>
                <c:pt idx="40">
                  <c:v>14305.084604470037</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22128.562368642764</c:v>
                </c:pt>
                <c:pt idx="9">
                  <c:v>21930.271332140495</c:v>
                </c:pt>
                <c:pt idx="10">
                  <c:v>21757.636557471822</c:v>
                </c:pt>
                <c:pt idx="11">
                  <c:v>21652.636030948182</c:v>
                </c:pt>
                <c:pt idx="12">
                  <c:v>21312.421858281785</c:v>
                </c:pt>
                <c:pt idx="13">
                  <c:v>20861.497670763485</c:v>
                </c:pt>
                <c:pt idx="14">
                  <c:v>20436.459424778128</c:v>
                </c:pt>
                <c:pt idx="15">
                  <c:v>20036.011796137504</c:v>
                </c:pt>
                <c:pt idx="16">
                  <c:v>19651.292925373818</c:v>
                </c:pt>
                <c:pt idx="17">
                  <c:v>19287.291483779678</c:v>
                </c:pt>
                <c:pt idx="18">
                  <c:v>18942.726950369659</c:v>
                </c:pt>
                <c:pt idx="19">
                  <c:v>18616.270764468114</c:v>
                </c:pt>
                <c:pt idx="20">
                  <c:v>18306.51662058994</c:v>
                </c:pt>
                <c:pt idx="21">
                  <c:v>17910.077658437382</c:v>
                </c:pt>
                <c:pt idx="22">
                  <c:v>17523.02460841577</c:v>
                </c:pt>
                <c:pt idx="23">
                  <c:v>17160.703952792632</c:v>
                </c:pt>
                <c:pt idx="24">
                  <c:v>16820.080930692598</c:v>
                </c:pt>
                <c:pt idx="25">
                  <c:v>16500.022238871847</c:v>
                </c:pt>
                <c:pt idx="26">
                  <c:v>16192.486407042355</c:v>
                </c:pt>
                <c:pt idx="27">
                  <c:v>15903.327585851937</c:v>
                </c:pt>
                <c:pt idx="28">
                  <c:v>15631.584726487545</c:v>
                </c:pt>
                <c:pt idx="29">
                  <c:v>15376.544695670253</c:v>
                </c:pt>
                <c:pt idx="30">
                  <c:v>15137.661976130954</c:v>
                </c:pt>
                <c:pt idx="31">
                  <c:v>14912.976901667549</c:v>
                </c:pt>
                <c:pt idx="32">
                  <c:v>14706.236852850854</c:v>
                </c:pt>
                <c:pt idx="33">
                  <c:v>14516.746799002976</c:v>
                </c:pt>
                <c:pt idx="34">
                  <c:v>14343.780717420035</c:v>
                </c:pt>
                <c:pt idx="35">
                  <c:v>14187.111429914643</c:v>
                </c:pt>
                <c:pt idx="36">
                  <c:v>14039.041404476651</c:v>
                </c:pt>
                <c:pt idx="37">
                  <c:v>13905.762515841045</c:v>
                </c:pt>
                <c:pt idx="38">
                  <c:v>13786.063487316951</c:v>
                </c:pt>
                <c:pt idx="39">
                  <c:v>13679.889230322973</c:v>
                </c:pt>
                <c:pt idx="40">
                  <c:v>13586.925661114316</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23254.6483990288</c:v>
                </c:pt>
                <c:pt idx="3">
                  <c:v>23128.093778212042</c:v>
                </c:pt>
                <c:pt idx="4">
                  <c:v>22967.326280441543</c:v>
                </c:pt>
                <c:pt idx="5">
                  <c:v>22774.222796456306</c:v>
                </c:pt>
                <c:pt idx="6">
                  <c:v>22550.951717705088</c:v>
                </c:pt>
                <c:pt idx="7">
                  <c:v>22301.418355851172</c:v>
                </c:pt>
                <c:pt idx="8">
                  <c:v>22066.316681604425</c:v>
                </c:pt>
                <c:pt idx="9">
                  <c:v>21796.878457386501</c:v>
                </c:pt>
                <c:pt idx="10">
                  <c:v>21536.082034230996</c:v>
                </c:pt>
                <c:pt idx="11">
                  <c:v>21287.023892414974</c:v>
                </c:pt>
                <c:pt idx="12">
                  <c:v>20810.61090803914</c:v>
                </c:pt>
                <c:pt idx="13">
                  <c:v>20357.771720827295</c:v>
                </c:pt>
                <c:pt idx="14">
                  <c:v>19930.894174042682</c:v>
                </c:pt>
                <c:pt idx="15">
                  <c:v>19528.533245099836</c:v>
                </c:pt>
                <c:pt idx="16">
                  <c:v>19141.538952218521</c:v>
                </c:pt>
                <c:pt idx="17">
                  <c:v>18775.29069373649</c:v>
                </c:pt>
                <c:pt idx="18">
                  <c:v>18428.374265280894</c:v>
                </c:pt>
                <c:pt idx="19">
                  <c:v>18099.491712047471</c:v>
                </c:pt>
                <c:pt idx="20">
                  <c:v>17787.229201448379</c:v>
                </c:pt>
                <c:pt idx="21">
                  <c:v>17387.768120305445</c:v>
                </c:pt>
                <c:pt idx="22">
                  <c:v>16997.834947156214</c:v>
                </c:pt>
                <c:pt idx="23">
                  <c:v>16632.30324569486</c:v>
                </c:pt>
                <c:pt idx="24">
                  <c:v>16288.238146484551</c:v>
                </c:pt>
                <c:pt idx="25">
                  <c:v>15964.492401858179</c:v>
                </c:pt>
                <c:pt idx="26">
                  <c:v>15653.155479936913</c:v>
                </c:pt>
                <c:pt idx="27">
                  <c:v>15360.028041741676</c:v>
                </c:pt>
                <c:pt idx="28">
                  <c:v>15084.252274111783</c:v>
                </c:pt>
                <c:pt idx="29">
                  <c:v>14825.008462278365</c:v>
                </c:pt>
                <c:pt idx="30">
                  <c:v>14581.658645608419</c:v>
                </c:pt>
                <c:pt idx="31">
                  <c:v>14352.3180614595</c:v>
                </c:pt>
                <c:pt idx="32">
                  <c:v>14140.719330131125</c:v>
                </c:pt>
                <c:pt idx="33">
                  <c:v>13946.179862980394</c:v>
                </c:pt>
                <c:pt idx="34">
                  <c:v>13767.946387581267</c:v>
                </c:pt>
                <c:pt idx="35">
                  <c:v>13605.67801995789</c:v>
                </c:pt>
                <c:pt idx="36">
                  <c:v>13451.728105963357</c:v>
                </c:pt>
                <c:pt idx="37">
                  <c:v>13312.284795021758</c:v>
                </c:pt>
                <c:pt idx="38">
                  <c:v>13186.348269662725</c:v>
                </c:pt>
                <c:pt idx="39">
                  <c:v>13073.625430698528</c:v>
                </c:pt>
                <c:pt idx="40">
                  <c:v>12973.777678071365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50.172070130067617</c:v>
                </c:pt>
                <c:pt idx="9" formatCode="_(* #,##0_);_(* \(#,##0\);_(* &quot;-&quot;_);_(@_)">
                  <c:v>49.847473415971187</c:v>
                </c:pt>
                <c:pt idx="10" formatCode="_(* #,##0_);_(* \(#,##0\);_(* &quot;-&quot;_);_(@_)">
                  <c:v>47.586944933914559</c:v>
                </c:pt>
                <c:pt idx="11" formatCode="_(* #,##0_);_(* \(#,##0\);_(* &quot;-&quot;_);_(@_)">
                  <c:v>47.328556831579235</c:v>
                </c:pt>
                <c:pt idx="12" formatCode="_(* #,##0_);_(* \(#,##0\);_(* &quot;-&quot;_);_(@_)">
                  <c:v>45.903210392984278</c:v>
                </c:pt>
                <c:pt idx="13" formatCode="_(* #,##0_);_(* \(#,##0\);_(* &quot;-&quot;_);_(@_)">
                  <c:v>44.745286877069645</c:v>
                </c:pt>
                <c:pt idx="14" formatCode="_(* #,##0_);_(* \(#,##0\);_(* &quot;-&quot;_);_(@_)">
                  <c:v>43.251251992583825</c:v>
                </c:pt>
                <c:pt idx="15" formatCode="_(* #,##0_);_(* \(#,##0\);_(* &quot;-&quot;_);_(@_)">
                  <c:v>40.955103194912731</c:v>
                </c:pt>
                <c:pt idx="16" formatCode="_(* #,##0_);_(* \(#,##0\);_(* &quot;-&quot;_);_(@_)">
                  <c:v>39.969673998818379</c:v>
                </c:pt>
                <c:pt idx="17" formatCode="_(* #,##0_);_(* \(#,##0\);_(* &quot;-&quot;_);_(@_)">
                  <c:v>38.984244802724028</c:v>
                </c:pt>
                <c:pt idx="18" formatCode="_(* #,##0_);_(* \(#,##0\);_(* &quot;-&quot;_);_(@_)">
                  <c:v>37.99881560662967</c:v>
                </c:pt>
                <c:pt idx="19" formatCode="_(* #,##0_);_(* \(#,##0\);_(* &quot;-&quot;_);_(@_)">
                  <c:v>37.013386410535311</c:v>
                </c:pt>
                <c:pt idx="20" formatCode="_(* #,##0_);_(* \(#,##0\);_(* &quot;-&quot;_);_(@_)">
                  <c:v>36.027957214440953</c:v>
                </c:pt>
                <c:pt idx="21" formatCode="_(* #,##0_);_(* \(#,##0\);_(* &quot;-&quot;_);_(@_)">
                  <c:v>35.846430699385166</c:v>
                </c:pt>
                <c:pt idx="22" formatCode="_(* #,##0_);_(* \(#,##0\);_(* &quot;-&quot;_);_(@_)">
                  <c:v>35.664904184329373</c:v>
                </c:pt>
                <c:pt idx="23" formatCode="_(* #,##0_);_(* \(#,##0\);_(* &quot;-&quot;_);_(@_)">
                  <c:v>35.483377669273601</c:v>
                </c:pt>
                <c:pt idx="24" formatCode="_(* #,##0_);_(* \(#,##0\);_(* &quot;-&quot;_);_(@_)">
                  <c:v>35.301851154217808</c:v>
                </c:pt>
                <c:pt idx="25" formatCode="_(* #,##0_);_(* \(#,##0\);_(* &quot;-&quot;_);_(@_)">
                  <c:v>35.120324639162028</c:v>
                </c:pt>
                <c:pt idx="26" formatCode="_(* #,##0_);_(* \(#,##0\);_(* &quot;-&quot;_);_(@_)">
                  <c:v>32.28539580363168</c:v>
                </c:pt>
                <c:pt idx="27" formatCode="_(* #,##0_);_(* \(#,##0\);_(* &quot;-&quot;_);_(@_)">
                  <c:v>29.450466968101324</c:v>
                </c:pt>
                <c:pt idx="28" formatCode="_(* #,##0_);_(* \(#,##0\);_(* &quot;-&quot;_);_(@_)">
                  <c:v>26.615538132570968</c:v>
                </c:pt>
                <c:pt idx="29" formatCode="_(* #,##0_);_(* \(#,##0\);_(* &quot;-&quot;_);_(@_)">
                  <c:v>23.780609297040609</c:v>
                </c:pt>
                <c:pt idx="30" formatCode="_(* #,##0_);_(* \(#,##0\);_(* &quot;-&quot;_);_(@_)">
                  <c:v>20.945680461510253</c:v>
                </c:pt>
                <c:pt idx="31" formatCode="_(* #,##0_);_(* \(#,##0\);_(* &quot;-&quot;_);_(@_)">
                  <c:v>19.664699523913871</c:v>
                </c:pt>
                <c:pt idx="32" formatCode="_(* #,##0_);_(* \(#,##0\);_(* &quot;-&quot;_);_(@_)">
                  <c:v>18.383718586317492</c:v>
                </c:pt>
                <c:pt idx="33" formatCode="_(* #,##0_);_(* \(#,##0\);_(* &quot;-&quot;_);_(@_)">
                  <c:v>17.10273764872111</c:v>
                </c:pt>
                <c:pt idx="34" formatCode="_(* #,##0_);_(* \(#,##0\);_(* &quot;-&quot;_);_(@_)">
                  <c:v>15.821756711124728</c:v>
                </c:pt>
                <c:pt idx="35" formatCode="_(* #,##0_);_(* \(#,##0\);_(* &quot;-&quot;_);_(@_)">
                  <c:v>14.540775773528345</c:v>
                </c:pt>
                <c:pt idx="36" formatCode="_(* #,##0_);_(* \(#,##0\);_(* &quot;-&quot;_);_(@_)">
                  <c:v>13.259794835931967</c:v>
                </c:pt>
                <c:pt idx="37" formatCode="_(* #,##0_);_(* \(#,##0\);_(* &quot;-&quot;_);_(@_)">
                  <c:v>11.978813898335586</c:v>
                </c:pt>
                <c:pt idx="38" formatCode="_(* #,##0_);_(* \(#,##0\);_(* &quot;-&quot;_);_(@_)">
                  <c:v>10.697832960739207</c:v>
                </c:pt>
                <c:pt idx="39" formatCode="_(* #,##0_);_(* \(#,##0\);_(* &quot;-&quot;_);_(@_)">
                  <c:v>9.4168520231428214</c:v>
                </c:pt>
                <c:pt idx="40" formatCode="_(* #,##0_);_(* \(#,##0\);_(* &quot;-&quot;_);_(@_)">
                  <c:v>8.1358710855464391</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2.3712106199973881E-2</c:v>
                </c:pt>
                <c:pt idx="19">
                  <c:v>4.7767778545469874E-2</c:v>
                </c:pt>
                <c:pt idx="20">
                  <c:v>7.0043634779731967E-2</c:v>
                </c:pt>
                <c:pt idx="21">
                  <c:v>8.7689948819799635E-2</c:v>
                </c:pt>
                <c:pt idx="22">
                  <c:v>0.10393620474397769</c:v>
                </c:pt>
                <c:pt idx="23">
                  <c:v>0.11889793455990316</c:v>
                </c:pt>
                <c:pt idx="24">
                  <c:v>0.1326526054958207</c:v>
                </c:pt>
                <c:pt idx="25">
                  <c:v>0.14528293898096023</c:v>
                </c:pt>
                <c:pt idx="26">
                  <c:v>0.15588479128872978</c:v>
                </c:pt>
                <c:pt idx="27">
                  <c:v>0.16555003142343172</c:v>
                </c:pt>
                <c:pt idx="28">
                  <c:v>0.1878757999109899</c:v>
                </c:pt>
                <c:pt idx="29">
                  <c:v>0.20894333895056283</c:v>
                </c:pt>
                <c:pt idx="30">
                  <c:v>0.22882093176043683</c:v>
                </c:pt>
                <c:pt idx="31">
                  <c:v>0.24572732316868784</c:v>
                </c:pt>
                <c:pt idx="32">
                  <c:v>0.26236620302590219</c:v>
                </c:pt>
                <c:pt idx="33">
                  <c:v>0.27873410565375156</c:v>
                </c:pt>
                <c:pt idx="34">
                  <c:v>0.29484843793873183</c:v>
                </c:pt>
                <c:pt idx="35">
                  <c:v>0.31069916836058864</c:v>
                </c:pt>
                <c:pt idx="36">
                  <c:v>0.32580253654030467</c:v>
                </c:pt>
                <c:pt idx="37">
                  <c:v>0.33279972765117138</c:v>
                </c:pt>
                <c:pt idx="38">
                  <c:v>0.34322600033669237</c:v>
                </c:pt>
                <c:pt idx="39">
                  <c:v>0.35350866119562807</c:v>
                </c:pt>
                <c:pt idx="40">
                  <c:v>0.36364968269495412</c:v>
                </c:pt>
                <c:pt idx="41">
                  <c:v>0.37326306970302392</c:v>
                </c:pt>
                <c:pt idx="42">
                  <c:v>0.38276102392324807</c:v>
                </c:pt>
                <c:pt idx="43">
                  <c:v>0.39214970181301045</c:v>
                </c:pt>
                <c:pt idx="44">
                  <c:v>0.40142550363638252</c:v>
                </c:pt>
                <c:pt idx="45">
                  <c:v>0.41059861471993231</c:v>
                </c:pt>
                <c:pt idx="46">
                  <c:v>0.41931438440175495</c:v>
                </c:pt>
                <c:pt idx="47">
                  <c:v>0.42794944279508085</c:v>
                </c:pt>
                <c:pt idx="48">
                  <c:v>0.42949464039331686</c:v>
                </c:pt>
                <c:pt idx="49">
                  <c:v>0.4310278228276031</c:v>
                </c:pt>
                <c:pt idx="50">
                  <c:v>0.43255703878856866</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4.0541690060924451E-2</c:v>
                </c:pt>
                <c:pt idx="19">
                  <c:v>7.3007136209731427E-2</c:v>
                </c:pt>
                <c:pt idx="20">
                  <c:v>6.6628667671368103E-2</c:v>
                </c:pt>
                <c:pt idx="21">
                  <c:v>9.9767019466319495E-2</c:v>
                </c:pt>
                <c:pt idx="22">
                  <c:v>0.11920786200253786</c:v>
                </c:pt>
                <c:pt idx="23">
                  <c:v>0.13950415787463422</c:v>
                </c:pt>
                <c:pt idx="24">
                  <c:v>0.15494854161217309</c:v>
                </c:pt>
                <c:pt idx="25">
                  <c:v>0.16202458633409866</c:v>
                </c:pt>
                <c:pt idx="26">
                  <c:v>0.17995401291015212</c:v>
                </c:pt>
                <c:pt idx="27">
                  <c:v>0.19611023439077668</c:v>
                </c:pt>
                <c:pt idx="28">
                  <c:v>0.21173864998899183</c:v>
                </c:pt>
                <c:pt idx="29">
                  <c:v>0.22588641987410629</c:v>
                </c:pt>
                <c:pt idx="30">
                  <c:v>0.2386108452908049</c:v>
                </c:pt>
                <c:pt idx="31">
                  <c:v>0.25716284790880262</c:v>
                </c:pt>
                <c:pt idx="32">
                  <c:v>0.27452909787877733</c:v>
                </c:pt>
                <c:pt idx="33">
                  <c:v>0.29143424820572084</c:v>
                </c:pt>
                <c:pt idx="34">
                  <c:v>0.30771349060468178</c:v>
                </c:pt>
                <c:pt idx="35">
                  <c:v>0.3233743987850386</c:v>
                </c:pt>
                <c:pt idx="36">
                  <c:v>0.32373367267609632</c:v>
                </c:pt>
                <c:pt idx="37">
                  <c:v>0.32387443373420788</c:v>
                </c:pt>
                <c:pt idx="38">
                  <c:v>0.32367822267306567</c:v>
                </c:pt>
                <c:pt idx="39">
                  <c:v>0.32327414213878525</c:v>
                </c:pt>
                <c:pt idx="40">
                  <c:v>0.32278265980265231</c:v>
                </c:pt>
                <c:pt idx="41">
                  <c:v>0.33718993558856425</c:v>
                </c:pt>
                <c:pt idx="42">
                  <c:v>0.35073519895588434</c:v>
                </c:pt>
                <c:pt idx="43">
                  <c:v>0.36343450290667212</c:v>
                </c:pt>
                <c:pt idx="44">
                  <c:v>0.3753458577446025</c:v>
                </c:pt>
                <c:pt idx="45">
                  <c:v>0.38659728678106653</c:v>
                </c:pt>
                <c:pt idx="46">
                  <c:v>0.39715603213077078</c:v>
                </c:pt>
                <c:pt idx="47">
                  <c:v>0.40704576805013837</c:v>
                </c:pt>
                <c:pt idx="48">
                  <c:v>0.41613851685325609</c:v>
                </c:pt>
                <c:pt idx="49">
                  <c:v>0.42464719043152677</c:v>
                </c:pt>
                <c:pt idx="50">
                  <c:v>0.4326070386148424</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4.0541690060924451E-2</c:v>
                </c:pt>
                <c:pt idx="19">
                  <c:v>7.3007136209731427E-2</c:v>
                </c:pt>
                <c:pt idx="20">
                  <c:v>6.6628667671368103E-2</c:v>
                </c:pt>
                <c:pt idx="21">
                  <c:v>9.9767019466319495E-2</c:v>
                </c:pt>
                <c:pt idx="22">
                  <c:v>0.11920786200253786</c:v>
                </c:pt>
                <c:pt idx="23">
                  <c:v>0.13950415787463422</c:v>
                </c:pt>
                <c:pt idx="24">
                  <c:v>0.15494854161217309</c:v>
                </c:pt>
                <c:pt idx="25">
                  <c:v>0.16202458633409866</c:v>
                </c:pt>
                <c:pt idx="26">
                  <c:v>0.17995401291015212</c:v>
                </c:pt>
                <c:pt idx="27">
                  <c:v>0.19611023439077668</c:v>
                </c:pt>
                <c:pt idx="28">
                  <c:v>0.21173864998899183</c:v>
                </c:pt>
                <c:pt idx="29">
                  <c:v>0.22588641987410629</c:v>
                </c:pt>
                <c:pt idx="30">
                  <c:v>0.2386108452908049</c:v>
                </c:pt>
                <c:pt idx="31">
                  <c:v>0.25716284790880262</c:v>
                </c:pt>
                <c:pt idx="32">
                  <c:v>0.27452909787877733</c:v>
                </c:pt>
                <c:pt idx="33">
                  <c:v>0.29143424820572084</c:v>
                </c:pt>
                <c:pt idx="34">
                  <c:v>0.30771349060468178</c:v>
                </c:pt>
                <c:pt idx="35">
                  <c:v>0.3233743987850386</c:v>
                </c:pt>
                <c:pt idx="36">
                  <c:v>0.32373367267609632</c:v>
                </c:pt>
                <c:pt idx="37">
                  <c:v>0.32387443373420788</c:v>
                </c:pt>
                <c:pt idx="38">
                  <c:v>0.32367822267306567</c:v>
                </c:pt>
                <c:pt idx="39">
                  <c:v>0.32327414213878525</c:v>
                </c:pt>
                <c:pt idx="40">
                  <c:v>0.32278265980265231</c:v>
                </c:pt>
                <c:pt idx="41">
                  <c:v>0.33718993558856425</c:v>
                </c:pt>
                <c:pt idx="42">
                  <c:v>0.35073519895588434</c:v>
                </c:pt>
                <c:pt idx="43">
                  <c:v>0.36343450290667212</c:v>
                </c:pt>
                <c:pt idx="44">
                  <c:v>0.3753458577446025</c:v>
                </c:pt>
                <c:pt idx="45">
                  <c:v>0.38659728678106653</c:v>
                </c:pt>
                <c:pt idx="46">
                  <c:v>0.39715603213077078</c:v>
                </c:pt>
                <c:pt idx="47">
                  <c:v>0.40704576805013837</c:v>
                </c:pt>
                <c:pt idx="48">
                  <c:v>0.41613851685325609</c:v>
                </c:pt>
                <c:pt idx="49">
                  <c:v>0.42464719043152677</c:v>
                </c:pt>
                <c:pt idx="50">
                  <c:v>0.4326070386148424</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2.3097279906837076E-2</c:v>
                </c:pt>
                <c:pt idx="19">
                  <c:v>4.2262775008130249E-2</c:v>
                </c:pt>
                <c:pt idx="20">
                  <c:v>6.3100384537620458E-2</c:v>
                </c:pt>
                <c:pt idx="21">
                  <c:v>9.7272411607128184E-2</c:v>
                </c:pt>
                <c:pt idx="22">
                  <c:v>0.15763966722713285</c:v>
                </c:pt>
                <c:pt idx="23">
                  <c:v>0.17661287778653034</c:v>
                </c:pt>
                <c:pt idx="24">
                  <c:v>0.19519821477542387</c:v>
                </c:pt>
                <c:pt idx="25">
                  <c:v>0.21340254569298889</c:v>
                </c:pt>
                <c:pt idx="26">
                  <c:v>0.23044058777428511</c:v>
                </c:pt>
                <c:pt idx="27">
                  <c:v>0.24719683589081587</c:v>
                </c:pt>
                <c:pt idx="28">
                  <c:v>0.26366200487589864</c:v>
                </c:pt>
                <c:pt idx="29">
                  <c:v>0.27985543822013526</c:v>
                </c:pt>
                <c:pt idx="30">
                  <c:v>0.29577559635585604</c:v>
                </c:pt>
                <c:pt idx="31">
                  <c:v>0.31568182082170804</c:v>
                </c:pt>
                <c:pt idx="32">
                  <c:v>0.33524888005816689</c:v>
                </c:pt>
                <c:pt idx="33">
                  <c:v>0.33818022722904584</c:v>
                </c:pt>
                <c:pt idx="34">
                  <c:v>0.34109031387957867</c:v>
                </c:pt>
                <c:pt idx="35">
                  <c:v>0.3439691156789576</c:v>
                </c:pt>
                <c:pt idx="36">
                  <c:v>0.34642146071856406</c:v>
                </c:pt>
                <c:pt idx="37">
                  <c:v>0.34885125932123828</c:v>
                </c:pt>
                <c:pt idx="38">
                  <c:v>0.35126807367285373</c:v>
                </c:pt>
                <c:pt idx="39">
                  <c:v>0.35366244539167624</c:v>
                </c:pt>
                <c:pt idx="40">
                  <c:v>0.35603457392895366</c:v>
                </c:pt>
                <c:pt idx="41">
                  <c:v>0.35803956113748092</c:v>
                </c:pt>
                <c:pt idx="42">
                  <c:v>0.36002784798689913</c:v>
                </c:pt>
                <c:pt idx="43">
                  <c:v>0.36200396083168174</c:v>
                </c:pt>
                <c:pt idx="44">
                  <c:v>0.36396356748329273</c:v>
                </c:pt>
                <c:pt idx="45">
                  <c:v>0.36591534586874086</c:v>
                </c:pt>
                <c:pt idx="46">
                  <c:v>0.36750526556588536</c:v>
                </c:pt>
                <c:pt idx="47">
                  <c:v>0.36909110395378564</c:v>
                </c:pt>
                <c:pt idx="48">
                  <c:v>0.37066860043647532</c:v>
                </c:pt>
                <c:pt idx="49">
                  <c:v>0.37223367175394073</c:v>
                </c:pt>
                <c:pt idx="50">
                  <c:v>0.37379453736104118</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3.5313693110914368E-2</c:v>
                </c:pt>
                <c:pt idx="19">
                  <c:v>5.7337149546160315E-2</c:v>
                </c:pt>
                <c:pt idx="20">
                  <c:v>6.6752191460547228E-2</c:v>
                </c:pt>
                <c:pt idx="21">
                  <c:v>0.18177545134573359</c:v>
                </c:pt>
                <c:pt idx="22">
                  <c:v>0.24696717837396054</c:v>
                </c:pt>
                <c:pt idx="23">
                  <c:v>0.25345338612614121</c:v>
                </c:pt>
                <c:pt idx="24">
                  <c:v>0.26096749156170729</c:v>
                </c:pt>
                <c:pt idx="25">
                  <c:v>0.27142825748973287</c:v>
                </c:pt>
                <c:pt idx="26">
                  <c:v>0.27820155971260785</c:v>
                </c:pt>
                <c:pt idx="27">
                  <c:v>0.28495547475082317</c:v>
                </c:pt>
                <c:pt idx="28">
                  <c:v>0.29187613713108251</c:v>
                </c:pt>
                <c:pt idx="29">
                  <c:v>0.29891127587696775</c:v>
                </c:pt>
                <c:pt idx="30">
                  <c:v>0.30606234123981113</c:v>
                </c:pt>
                <c:pt idx="31">
                  <c:v>0.31075440256461695</c:v>
                </c:pt>
                <c:pt idx="32">
                  <c:v>0.31514902690029456</c:v>
                </c:pt>
                <c:pt idx="33">
                  <c:v>0.31983179296666453</c:v>
                </c:pt>
                <c:pt idx="34">
                  <c:v>0.324655091654937</c:v>
                </c:pt>
                <c:pt idx="35">
                  <c:v>0.32961379341442587</c:v>
                </c:pt>
                <c:pt idx="36">
                  <c:v>0.34507767462713557</c:v>
                </c:pt>
                <c:pt idx="37">
                  <c:v>0.36120009506420703</c:v>
                </c:pt>
                <c:pt idx="38">
                  <c:v>0.37787705294076901</c:v>
                </c:pt>
                <c:pt idx="39">
                  <c:v>0.39521158860047567</c:v>
                </c:pt>
                <c:pt idx="40">
                  <c:v>0.39917621913890244</c:v>
                </c:pt>
                <c:pt idx="41">
                  <c:v>0.39997456790101549</c:v>
                </c:pt>
                <c:pt idx="42">
                  <c:v>0.40093007692232452</c:v>
                </c:pt>
                <c:pt idx="43">
                  <c:v>0.40202615928386531</c:v>
                </c:pt>
                <c:pt idx="44">
                  <c:v>0.40327840761206057</c:v>
                </c:pt>
                <c:pt idx="45">
                  <c:v>0.40476896254699657</c:v>
                </c:pt>
                <c:pt idx="46">
                  <c:v>0.40644373321612515</c:v>
                </c:pt>
                <c:pt idx="47">
                  <c:v>0.40829241148702333</c:v>
                </c:pt>
                <c:pt idx="48">
                  <c:v>0.41014498466469618</c:v>
                </c:pt>
                <c:pt idx="49">
                  <c:v>0.41217095711394036</c:v>
                </c:pt>
                <c:pt idx="50">
                  <c:v>0.41437174149669154</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3.5313693110914368E-2</c:v>
                </c:pt>
                <c:pt idx="19">
                  <c:v>5.7337149546160315E-2</c:v>
                </c:pt>
                <c:pt idx="20">
                  <c:v>6.6752191460547228E-2</c:v>
                </c:pt>
                <c:pt idx="21">
                  <c:v>0.18177545134573359</c:v>
                </c:pt>
                <c:pt idx="22">
                  <c:v>0.24696717837396054</c:v>
                </c:pt>
                <c:pt idx="23">
                  <c:v>0.25345338612614121</c:v>
                </c:pt>
                <c:pt idx="24">
                  <c:v>0.26096749156170729</c:v>
                </c:pt>
                <c:pt idx="25">
                  <c:v>0.27142825748973287</c:v>
                </c:pt>
                <c:pt idx="26">
                  <c:v>0.27820155971260785</c:v>
                </c:pt>
                <c:pt idx="27">
                  <c:v>0.28495547475082317</c:v>
                </c:pt>
                <c:pt idx="28">
                  <c:v>0.29187613713108251</c:v>
                </c:pt>
                <c:pt idx="29">
                  <c:v>0.29891127587696775</c:v>
                </c:pt>
                <c:pt idx="30">
                  <c:v>0.30606234123981113</c:v>
                </c:pt>
                <c:pt idx="31">
                  <c:v>0.31075440256461695</c:v>
                </c:pt>
                <c:pt idx="32">
                  <c:v>0.31514902690029456</c:v>
                </c:pt>
                <c:pt idx="33">
                  <c:v>0.31983179296666453</c:v>
                </c:pt>
                <c:pt idx="34">
                  <c:v>0.324655091654937</c:v>
                </c:pt>
                <c:pt idx="35">
                  <c:v>0.32961379341442587</c:v>
                </c:pt>
                <c:pt idx="36">
                  <c:v>0.34507767462713557</c:v>
                </c:pt>
                <c:pt idx="37">
                  <c:v>0.36120009506420703</c:v>
                </c:pt>
                <c:pt idx="38">
                  <c:v>0.37787705294076901</c:v>
                </c:pt>
                <c:pt idx="39">
                  <c:v>0.39521158860047567</c:v>
                </c:pt>
                <c:pt idx="40">
                  <c:v>0.39917621913890244</c:v>
                </c:pt>
                <c:pt idx="41">
                  <c:v>0.39997456790101549</c:v>
                </c:pt>
                <c:pt idx="42">
                  <c:v>0.40093007692232452</c:v>
                </c:pt>
                <c:pt idx="43">
                  <c:v>0.40202615928386531</c:v>
                </c:pt>
                <c:pt idx="44">
                  <c:v>0.40327840761206057</c:v>
                </c:pt>
                <c:pt idx="45">
                  <c:v>0.40476896254699657</c:v>
                </c:pt>
                <c:pt idx="46">
                  <c:v>0.40644373321612515</c:v>
                </c:pt>
                <c:pt idx="47">
                  <c:v>0.40829241148702333</c:v>
                </c:pt>
                <c:pt idx="48">
                  <c:v>0.41014498466469618</c:v>
                </c:pt>
                <c:pt idx="49">
                  <c:v>0.41217095711394036</c:v>
                </c:pt>
                <c:pt idx="50">
                  <c:v>0.41437174149669154</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2.3097279906837076E-2</c:v>
                </c:pt>
                <c:pt idx="19">
                  <c:v>4.2262775008130249E-2</c:v>
                </c:pt>
                <c:pt idx="20">
                  <c:v>6.3100384537620458E-2</c:v>
                </c:pt>
                <c:pt idx="21">
                  <c:v>9.7272411607128184E-2</c:v>
                </c:pt>
                <c:pt idx="22">
                  <c:v>0.15763966722713285</c:v>
                </c:pt>
                <c:pt idx="23">
                  <c:v>0.17661287778653034</c:v>
                </c:pt>
                <c:pt idx="24">
                  <c:v>0.19519821477542387</c:v>
                </c:pt>
                <c:pt idx="25">
                  <c:v>0.21340254569298889</c:v>
                </c:pt>
                <c:pt idx="26">
                  <c:v>0.23044058777428511</c:v>
                </c:pt>
                <c:pt idx="27">
                  <c:v>0.24719683589081587</c:v>
                </c:pt>
                <c:pt idx="28">
                  <c:v>0.26366200487589864</c:v>
                </c:pt>
                <c:pt idx="29">
                  <c:v>0.27985543822013526</c:v>
                </c:pt>
                <c:pt idx="30">
                  <c:v>0.29577559635585604</c:v>
                </c:pt>
                <c:pt idx="31">
                  <c:v>0.31568182082170804</c:v>
                </c:pt>
                <c:pt idx="32">
                  <c:v>0.33524888005816689</c:v>
                </c:pt>
                <c:pt idx="33">
                  <c:v>0.33818022722904584</c:v>
                </c:pt>
                <c:pt idx="34">
                  <c:v>0.34109031387957867</c:v>
                </c:pt>
                <c:pt idx="35">
                  <c:v>0.3439691156789576</c:v>
                </c:pt>
                <c:pt idx="36">
                  <c:v>0.34642146071856406</c:v>
                </c:pt>
                <c:pt idx="37">
                  <c:v>0.34885125932123817</c:v>
                </c:pt>
                <c:pt idx="38">
                  <c:v>0.35126807367285373</c:v>
                </c:pt>
                <c:pt idx="39">
                  <c:v>0.35366244539167624</c:v>
                </c:pt>
                <c:pt idx="40">
                  <c:v>0.35603457392895366</c:v>
                </c:pt>
                <c:pt idx="41">
                  <c:v>0.35803956113748092</c:v>
                </c:pt>
                <c:pt idx="42">
                  <c:v>0.36002784798689913</c:v>
                </c:pt>
                <c:pt idx="43">
                  <c:v>0.36200396083168174</c:v>
                </c:pt>
                <c:pt idx="44">
                  <c:v>0.36396356748329273</c:v>
                </c:pt>
                <c:pt idx="45">
                  <c:v>0.36591534586874086</c:v>
                </c:pt>
                <c:pt idx="46">
                  <c:v>0.36750526556588536</c:v>
                </c:pt>
                <c:pt idx="47">
                  <c:v>0.36909110395378564</c:v>
                </c:pt>
                <c:pt idx="48">
                  <c:v>0.37066860043647532</c:v>
                </c:pt>
                <c:pt idx="49">
                  <c:v>0.37223367175394073</c:v>
                </c:pt>
                <c:pt idx="50">
                  <c:v>0.37379453736104118</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3.5313693110914368E-2</c:v>
                </c:pt>
                <c:pt idx="19">
                  <c:v>5.7337149546160315E-2</c:v>
                </c:pt>
                <c:pt idx="20">
                  <c:v>6.6752191460547228E-2</c:v>
                </c:pt>
                <c:pt idx="21">
                  <c:v>0.18177545134573359</c:v>
                </c:pt>
                <c:pt idx="22">
                  <c:v>0.24696717837396054</c:v>
                </c:pt>
                <c:pt idx="23">
                  <c:v>0.25345338612614121</c:v>
                </c:pt>
                <c:pt idx="24">
                  <c:v>0.26096749156170729</c:v>
                </c:pt>
                <c:pt idx="25">
                  <c:v>0.27142825748973287</c:v>
                </c:pt>
                <c:pt idx="26">
                  <c:v>0.27820155971260785</c:v>
                </c:pt>
                <c:pt idx="27">
                  <c:v>0.28495547475082317</c:v>
                </c:pt>
                <c:pt idx="28">
                  <c:v>0.29187613713108251</c:v>
                </c:pt>
                <c:pt idx="29">
                  <c:v>0.29891127587696775</c:v>
                </c:pt>
                <c:pt idx="30">
                  <c:v>0.30606234123981113</c:v>
                </c:pt>
                <c:pt idx="31">
                  <c:v>0.31075440256461695</c:v>
                </c:pt>
                <c:pt idx="32">
                  <c:v>0.31514902690029456</c:v>
                </c:pt>
                <c:pt idx="33">
                  <c:v>0.31983179296666453</c:v>
                </c:pt>
                <c:pt idx="34">
                  <c:v>0.324655091654937</c:v>
                </c:pt>
                <c:pt idx="35">
                  <c:v>0.32961379341442587</c:v>
                </c:pt>
                <c:pt idx="36">
                  <c:v>0.34507767462713557</c:v>
                </c:pt>
                <c:pt idx="37">
                  <c:v>0.36120009506420703</c:v>
                </c:pt>
                <c:pt idx="38">
                  <c:v>0.37787705294076901</c:v>
                </c:pt>
                <c:pt idx="39">
                  <c:v>0.39521158860047567</c:v>
                </c:pt>
                <c:pt idx="40">
                  <c:v>0.39917621913890244</c:v>
                </c:pt>
                <c:pt idx="41">
                  <c:v>0.39997456790101549</c:v>
                </c:pt>
                <c:pt idx="42">
                  <c:v>0.40093007692232452</c:v>
                </c:pt>
                <c:pt idx="43">
                  <c:v>0.40202615928386531</c:v>
                </c:pt>
                <c:pt idx="44">
                  <c:v>0.40327840761206057</c:v>
                </c:pt>
                <c:pt idx="45">
                  <c:v>0.40476896254699657</c:v>
                </c:pt>
                <c:pt idx="46">
                  <c:v>0.40644373321612515</c:v>
                </c:pt>
                <c:pt idx="47">
                  <c:v>0.40829241148702333</c:v>
                </c:pt>
                <c:pt idx="48">
                  <c:v>0.41014498466469618</c:v>
                </c:pt>
                <c:pt idx="49">
                  <c:v>0.41217095711394036</c:v>
                </c:pt>
                <c:pt idx="50">
                  <c:v>0.41437174149669154</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3.5313693110914368E-2</c:v>
                </c:pt>
                <c:pt idx="19">
                  <c:v>5.7337149546160315E-2</c:v>
                </c:pt>
                <c:pt idx="20">
                  <c:v>6.6752191460547228E-2</c:v>
                </c:pt>
                <c:pt idx="21">
                  <c:v>0.18177545134573359</c:v>
                </c:pt>
                <c:pt idx="22">
                  <c:v>0.24696717837396054</c:v>
                </c:pt>
                <c:pt idx="23">
                  <c:v>0.25345338612614121</c:v>
                </c:pt>
                <c:pt idx="24">
                  <c:v>0.26096749156170729</c:v>
                </c:pt>
                <c:pt idx="25">
                  <c:v>0.27142825748973287</c:v>
                </c:pt>
                <c:pt idx="26">
                  <c:v>0.27820155971260785</c:v>
                </c:pt>
                <c:pt idx="27">
                  <c:v>0.28495547475082317</c:v>
                </c:pt>
                <c:pt idx="28">
                  <c:v>0.29187613713108251</c:v>
                </c:pt>
                <c:pt idx="29">
                  <c:v>0.29891127587696775</c:v>
                </c:pt>
                <c:pt idx="30">
                  <c:v>0.30606234123981113</c:v>
                </c:pt>
                <c:pt idx="31">
                  <c:v>0.31075440256461695</c:v>
                </c:pt>
                <c:pt idx="32">
                  <c:v>0.31514902690029456</c:v>
                </c:pt>
                <c:pt idx="33">
                  <c:v>0.31983179296666453</c:v>
                </c:pt>
                <c:pt idx="34">
                  <c:v>0.324655091654937</c:v>
                </c:pt>
                <c:pt idx="35">
                  <c:v>0.32961379341442587</c:v>
                </c:pt>
                <c:pt idx="36">
                  <c:v>0.34507767462713557</c:v>
                </c:pt>
                <c:pt idx="37">
                  <c:v>0.36120009506420703</c:v>
                </c:pt>
                <c:pt idx="38">
                  <c:v>0.37787705294076901</c:v>
                </c:pt>
                <c:pt idx="39">
                  <c:v>0.39521158860047567</c:v>
                </c:pt>
                <c:pt idx="40">
                  <c:v>0.39917621913890244</c:v>
                </c:pt>
                <c:pt idx="41">
                  <c:v>0.39997456790101549</c:v>
                </c:pt>
                <c:pt idx="42">
                  <c:v>0.40093007692232452</c:v>
                </c:pt>
                <c:pt idx="43">
                  <c:v>0.40202615928386531</c:v>
                </c:pt>
                <c:pt idx="44">
                  <c:v>0.40327840761206057</c:v>
                </c:pt>
                <c:pt idx="45">
                  <c:v>0.40476896254699657</c:v>
                </c:pt>
                <c:pt idx="46">
                  <c:v>0.40644373321612515</c:v>
                </c:pt>
                <c:pt idx="47">
                  <c:v>0.40829241148702333</c:v>
                </c:pt>
                <c:pt idx="48">
                  <c:v>0.41014498466469618</c:v>
                </c:pt>
                <c:pt idx="49">
                  <c:v>0.41217095711394036</c:v>
                </c:pt>
                <c:pt idx="50">
                  <c:v>0.41437174149669154</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abSelected="1" workbookViewId="0">
      <selection activeCell="K12" sqref="K12"/>
    </sheetView>
  </sheetViews>
  <sheetFormatPr defaultRowHeight="14.4"/>
  <sheetData>
    <row r="1" spans="1:13" ht="15.6">
      <c r="A1" s="569"/>
      <c r="B1" s="569"/>
      <c r="C1" s="569"/>
      <c r="D1" s="569"/>
      <c r="E1" s="569"/>
      <c r="F1" s="569"/>
      <c r="G1" s="569"/>
      <c r="H1" s="569"/>
      <c r="I1" s="569"/>
      <c r="J1" s="569"/>
      <c r="K1" s="569"/>
      <c r="L1" s="569"/>
      <c r="M1" s="569"/>
    </row>
    <row r="2" spans="1:13" ht="15.6">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8">
      <c r="A4" s="571" t="s">
        <v>538</v>
      </c>
      <c r="B4" s="569"/>
      <c r="C4" s="569"/>
      <c r="D4" s="569"/>
      <c r="E4" s="569"/>
      <c r="F4" s="569"/>
      <c r="G4" s="569"/>
      <c r="H4" s="569"/>
      <c r="I4" s="569"/>
      <c r="J4" s="569"/>
      <c r="K4" s="569"/>
      <c r="L4" s="569"/>
      <c r="M4" s="569"/>
    </row>
    <row r="5" spans="1:13" ht="49.8">
      <c r="A5" s="571" t="s">
        <v>536</v>
      </c>
      <c r="B5" s="569"/>
      <c r="C5" s="569"/>
      <c r="D5" s="569"/>
      <c r="E5" s="569"/>
      <c r="F5" s="569"/>
      <c r="G5" s="569"/>
      <c r="H5" s="569"/>
      <c r="I5" s="569"/>
      <c r="J5" s="569"/>
      <c r="K5" s="569"/>
      <c r="L5" s="569"/>
      <c r="M5" s="569"/>
    </row>
    <row r="6" spans="1:13" ht="49.8">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399999999999999">
      <c r="A8" s="572"/>
      <c r="B8" s="569"/>
      <c r="C8" s="569"/>
      <c r="D8" s="569"/>
      <c r="E8" s="569"/>
      <c r="F8" s="569"/>
      <c r="G8" s="569"/>
      <c r="H8" s="569"/>
      <c r="I8" s="569"/>
      <c r="J8" s="569"/>
      <c r="K8" s="569"/>
      <c r="L8" s="569"/>
      <c r="M8" s="569"/>
    </row>
    <row r="9" spans="1:13" ht="18">
      <c r="A9" s="574" t="s">
        <v>818</v>
      </c>
      <c r="B9" s="569"/>
      <c r="C9" s="569"/>
      <c r="D9" s="569"/>
      <c r="E9" s="569"/>
      <c r="F9" s="569"/>
      <c r="G9" s="569"/>
      <c r="H9" s="569"/>
      <c r="I9" s="569"/>
      <c r="J9" s="569"/>
      <c r="K9" s="569"/>
      <c r="L9" s="569"/>
      <c r="M9" s="569"/>
    </row>
    <row r="10" spans="1:13" ht="15.6">
      <c r="A10" s="569"/>
      <c r="B10" s="569"/>
      <c r="C10" s="569"/>
      <c r="D10" s="569"/>
      <c r="E10" s="569"/>
      <c r="F10" s="569"/>
      <c r="G10" s="569"/>
      <c r="H10" s="569"/>
      <c r="I10" s="569"/>
      <c r="J10" s="569"/>
      <c r="K10" s="569"/>
      <c r="L10" s="569"/>
      <c r="M10" s="569"/>
    </row>
    <row r="11" spans="1:13" ht="20.399999999999999">
      <c r="A11" s="572" t="s">
        <v>540</v>
      </c>
      <c r="B11" s="569"/>
      <c r="C11" s="569"/>
      <c r="D11" s="569"/>
      <c r="E11" s="569"/>
      <c r="F11" s="569"/>
      <c r="G11" s="569"/>
      <c r="H11" s="569"/>
      <c r="I11" s="569"/>
      <c r="J11" s="569"/>
      <c r="K11" s="569"/>
      <c r="L11" s="569"/>
      <c r="M11" s="569"/>
    </row>
    <row r="12" spans="1:13" ht="20.399999999999999">
      <c r="A12" s="572" t="s">
        <v>541</v>
      </c>
      <c r="B12" s="569"/>
      <c r="C12" s="569"/>
      <c r="D12" s="569"/>
      <c r="E12" s="569"/>
      <c r="F12" s="569"/>
      <c r="G12" s="569"/>
      <c r="H12" s="569"/>
      <c r="I12" s="569"/>
      <c r="J12" s="569"/>
      <c r="K12" s="569"/>
      <c r="L12" s="569"/>
      <c r="M12" s="569"/>
    </row>
    <row r="13" spans="1:13" ht="15.6">
      <c r="A13" s="569"/>
      <c r="B13" s="569"/>
      <c r="C13" s="569"/>
      <c r="D13" s="569"/>
      <c r="E13" s="569"/>
      <c r="F13" s="569"/>
      <c r="G13" s="569"/>
      <c r="H13" s="569"/>
      <c r="I13" s="569"/>
      <c r="J13" s="569"/>
      <c r="K13" s="569"/>
      <c r="L13" s="569"/>
      <c r="M13" s="569"/>
    </row>
    <row r="14" spans="1:13" ht="15.6">
      <c r="A14" s="569"/>
      <c r="B14" s="569"/>
      <c r="C14" s="569"/>
      <c r="D14" s="569"/>
      <c r="E14" s="569"/>
      <c r="F14" s="569"/>
      <c r="G14" s="569"/>
      <c r="H14" s="569"/>
      <c r="I14" s="569"/>
      <c r="J14" s="569"/>
      <c r="K14" s="569"/>
      <c r="L14" s="569"/>
      <c r="M14" s="569"/>
    </row>
    <row r="15" spans="1:13" ht="15.6">
      <c r="A15" s="569"/>
      <c r="B15" s="569"/>
      <c r="C15" s="569"/>
      <c r="D15" s="569"/>
      <c r="E15" s="569"/>
      <c r="F15" s="569"/>
      <c r="G15" s="569"/>
      <c r="H15" s="569"/>
      <c r="I15" s="569"/>
      <c r="J15" s="569"/>
      <c r="K15" s="569"/>
      <c r="L15" s="569"/>
      <c r="M15" s="569"/>
    </row>
    <row r="16" spans="1:13" ht="15.6">
      <c r="A16" s="569"/>
      <c r="B16" s="569"/>
      <c r="C16" s="569"/>
      <c r="D16" s="569"/>
      <c r="E16" s="569"/>
      <c r="F16" s="569"/>
      <c r="G16" s="569"/>
      <c r="H16" s="569"/>
      <c r="I16" s="569"/>
      <c r="J16" s="569"/>
      <c r="K16" s="569"/>
      <c r="L16" s="569"/>
      <c r="M16" s="569"/>
    </row>
    <row r="17" spans="1:13" ht="15.6">
      <c r="A17" s="569"/>
      <c r="B17" s="569"/>
      <c r="C17" s="569"/>
      <c r="D17" s="569"/>
      <c r="E17" s="569"/>
      <c r="F17" s="569"/>
      <c r="G17" s="569"/>
      <c r="H17" s="569"/>
      <c r="I17" s="569"/>
      <c r="J17" s="569"/>
      <c r="K17" s="569"/>
      <c r="L17" s="569"/>
      <c r="M17" s="569"/>
    </row>
    <row r="18" spans="1:13" ht="15.6">
      <c r="A18" s="569"/>
      <c r="B18" s="569"/>
      <c r="C18" s="569"/>
      <c r="D18" s="569"/>
      <c r="E18" s="569"/>
      <c r="F18" s="569"/>
      <c r="G18" s="569"/>
      <c r="H18" s="569"/>
      <c r="I18" s="569"/>
      <c r="J18" s="569"/>
      <c r="K18" s="569"/>
      <c r="L18" s="569"/>
      <c r="M18" s="569"/>
    </row>
    <row r="19" spans="1:13" ht="15.6">
      <c r="A19" s="569"/>
      <c r="B19" s="569"/>
      <c r="C19" s="569"/>
      <c r="D19" s="569"/>
      <c r="E19" s="569"/>
      <c r="F19" s="569"/>
      <c r="G19" s="569"/>
      <c r="H19" s="569"/>
      <c r="I19" s="569"/>
      <c r="J19" s="569"/>
      <c r="K19" s="569"/>
      <c r="L19" s="569"/>
      <c r="M19" s="569"/>
    </row>
    <row r="20" spans="1:13" ht="15.6">
      <c r="A20" s="569"/>
      <c r="B20" s="569"/>
      <c r="C20" s="569"/>
      <c r="D20" s="569"/>
      <c r="E20" s="569"/>
      <c r="F20" s="569"/>
      <c r="G20" s="569"/>
      <c r="H20" s="569"/>
      <c r="I20" s="569"/>
      <c r="J20" s="569"/>
      <c r="K20" s="569"/>
      <c r="L20" s="569"/>
      <c r="M20" s="569"/>
    </row>
    <row r="21" spans="1:13" ht="15.6">
      <c r="A21" s="569"/>
      <c r="B21" s="569"/>
      <c r="C21" s="569"/>
      <c r="D21" s="569"/>
      <c r="E21" s="569"/>
      <c r="F21" s="569"/>
      <c r="G21" s="569"/>
      <c r="H21" s="569"/>
      <c r="I21" s="569"/>
      <c r="J21" s="569"/>
      <c r="K21" s="569"/>
      <c r="L21" s="569"/>
      <c r="M21" s="569"/>
    </row>
    <row r="22" spans="1:13" ht="15.6">
      <c r="A22" s="569"/>
      <c r="B22" s="569"/>
      <c r="C22" s="569"/>
      <c r="D22" s="569"/>
      <c r="E22" s="569"/>
      <c r="F22" s="569"/>
      <c r="G22" s="569"/>
      <c r="H22" s="569"/>
      <c r="I22" s="569"/>
      <c r="J22" s="569"/>
      <c r="K22" s="569"/>
      <c r="L22" s="569"/>
      <c r="M22" s="569"/>
    </row>
    <row r="23" spans="1:13" ht="15.6">
      <c r="A23" s="573"/>
      <c r="B23" s="573"/>
      <c r="C23" s="573"/>
      <c r="D23" s="573"/>
      <c r="E23" s="573"/>
      <c r="F23" s="573"/>
      <c r="G23" s="573"/>
      <c r="H23" s="573"/>
      <c r="I23" s="573"/>
      <c r="J23" s="573"/>
      <c r="K23" s="573"/>
      <c r="L23" s="573"/>
      <c r="M23" s="573"/>
    </row>
    <row r="24" spans="1:13" ht="15.6">
      <c r="A24" s="573"/>
      <c r="B24" s="573"/>
      <c r="C24" s="573"/>
      <c r="D24" s="573"/>
      <c r="E24" s="573"/>
      <c r="F24" s="573"/>
      <c r="G24" s="573"/>
      <c r="H24" s="573"/>
      <c r="I24" s="573"/>
      <c r="J24" s="573"/>
      <c r="K24" s="573"/>
      <c r="L24" s="573"/>
      <c r="M24" s="573"/>
    </row>
    <row r="25" spans="1:13" ht="15.6">
      <c r="A25" s="573"/>
      <c r="B25" s="573"/>
      <c r="C25" s="573"/>
      <c r="D25" s="573"/>
      <c r="E25" s="573"/>
      <c r="F25" s="573"/>
      <c r="G25" s="573"/>
      <c r="H25" s="573"/>
      <c r="I25" s="573"/>
      <c r="J25" s="573"/>
      <c r="K25" s="573"/>
      <c r="L25" s="573"/>
      <c r="M25" s="573"/>
    </row>
    <row r="26" spans="1:13" ht="15.6">
      <c r="A26" s="573"/>
      <c r="B26" s="573"/>
      <c r="C26" s="573"/>
      <c r="D26" s="573"/>
      <c r="E26" s="573"/>
      <c r="F26" s="573"/>
      <c r="G26" s="573"/>
      <c r="H26" s="573"/>
      <c r="I26" s="573"/>
      <c r="J26" s="573"/>
      <c r="K26" s="573"/>
      <c r="L26" s="573"/>
      <c r="M26" s="573"/>
    </row>
    <row r="27" spans="1:13" ht="15.6">
      <c r="A27" s="573"/>
      <c r="B27" s="573"/>
      <c r="C27" s="573"/>
      <c r="D27" s="573"/>
      <c r="E27" s="573"/>
      <c r="F27" s="573"/>
      <c r="G27" s="573"/>
      <c r="H27" s="573"/>
      <c r="I27" s="573"/>
      <c r="J27" s="573"/>
      <c r="K27" s="573"/>
      <c r="L27" s="573"/>
      <c r="M27" s="573"/>
    </row>
    <row r="28" spans="1:13" ht="15.6">
      <c r="A28" s="573"/>
      <c r="B28" s="573"/>
      <c r="C28" s="573"/>
      <c r="D28" s="573"/>
      <c r="E28" s="573"/>
      <c r="F28" s="573"/>
      <c r="G28" s="573"/>
      <c r="H28" s="573"/>
      <c r="I28" s="573"/>
      <c r="J28" s="573"/>
      <c r="K28" s="573"/>
      <c r="L28" s="573"/>
      <c r="M28" s="573"/>
    </row>
    <row r="29" spans="1:13" ht="15.6">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workbookViewId="0">
      <selection activeCell="H20" sqref="H20"/>
    </sheetView>
  </sheetViews>
  <sheetFormatPr defaultRowHeight="14.4"/>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390</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3118.4256039244997</v>
      </c>
      <c r="B25">
        <v>3065.7476054270364</v>
      </c>
      <c r="C25">
        <v>3013.0696069295741</v>
      </c>
      <c r="D25">
        <v>2960.3916084321104</v>
      </c>
      <c r="E25">
        <v>2946.5329043651905</v>
      </c>
      <c r="F25">
        <v>2927.0646790192823</v>
      </c>
      <c r="G25">
        <v>2937.4286337061499</v>
      </c>
      <c r="H25">
        <v>2918.4244411360219</v>
      </c>
      <c r="I25">
        <v>2786.0770798793037</v>
      </c>
      <c r="J25">
        <v>2770.9492087661306</v>
      </c>
      <c r="K25">
        <v>2687.4993245810492</v>
      </c>
      <c r="L25">
        <v>2619.7062739361054</v>
      </c>
      <c r="M25">
        <v>2532.2348812256332</v>
      </c>
      <c r="N25">
        <v>2397.8020541957007</v>
      </c>
      <c r="O25">
        <v>2340.1080437713063</v>
      </c>
      <c r="P25">
        <v>2282.4140333469113</v>
      </c>
      <c r="Q25">
        <v>2224.7200229225164</v>
      </c>
      <c r="R25">
        <v>2167.0260124981214</v>
      </c>
      <c r="S25">
        <v>2109.332002073726</v>
      </c>
      <c r="T25">
        <v>2098.7041531187315</v>
      </c>
      <c r="U25">
        <v>2088.0763041637365</v>
      </c>
      <c r="V25">
        <v>2077.4484552087424</v>
      </c>
      <c r="W25">
        <v>2066.8206062537474</v>
      </c>
      <c r="X25">
        <v>2056.1927572987529</v>
      </c>
      <c r="Y25">
        <v>1890.2159276718735</v>
      </c>
      <c r="Z25">
        <v>1724.2390980449936</v>
      </c>
      <c r="AA25">
        <v>1558.2622684181138</v>
      </c>
      <c r="AB25">
        <v>1392.2854387912339</v>
      </c>
      <c r="AC25">
        <v>1226.308609164354</v>
      </c>
      <c r="AD25">
        <v>1151.310904752864</v>
      </c>
      <c r="AE25">
        <v>1076.3132003413739</v>
      </c>
      <c r="AF25">
        <v>1001.3154959298838</v>
      </c>
      <c r="AG25">
        <v>926.31779151839373</v>
      </c>
      <c r="AH25">
        <v>851.32008710690366</v>
      </c>
      <c r="AI25">
        <v>776.32238269541381</v>
      </c>
      <c r="AJ25">
        <v>701.32467828392373</v>
      </c>
      <c r="AK25">
        <v>626.32697387243377</v>
      </c>
      <c r="AL25">
        <v>551.32926946094358</v>
      </c>
      <c r="AM25">
        <v>476.33156504945345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4.4"/>
  <cols>
    <col min="1" max="1" width="37.6640625" bestFit="1" customWidth="1"/>
  </cols>
  <sheetData>
    <row r="1" spans="1:42">
      <c r="A1" t="s">
        <v>671</v>
      </c>
      <c r="B1" s="1166">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32.155386437255011</v>
      </c>
      <c r="E16" s="1165">
        <f ca="1">SUM(OFFSET('Output data (results)'!$B$10,E$15-2000,INDEX($M$2:$M$9,MATCH($B16&amp;$C16,$J$2:$J$9,0)),1,INDEX($N$2:$N$9,MATCH($B16&amp;$C16,$J$2:$J$9,0))))</f>
        <v>32.638447419270648</v>
      </c>
      <c r="F16" s="1165">
        <f ca="1">SUM(OFFSET('Output data (results)'!$B$10,F$15-2000,INDEX($M$2:$M$9,MATCH($B16&amp;$C16,$J$2:$J$9,0)),1,INDEX($N$2:$N$9,MATCH($B16&amp;$C16,$J$2:$J$9,0))))</f>
        <v>33.044540792206639</v>
      </c>
      <c r="G16" s="1165">
        <f ca="1">SUM(OFFSET('Output data (results)'!$B$10,G$15-2000,INDEX($M$2:$M$9,MATCH($B16&amp;$C16,$J$2:$J$9,0)),1,INDEX($N$2:$N$9,MATCH($B16&amp;$C16,$J$2:$J$9,0))))</f>
        <v>33.369862125470313</v>
      </c>
      <c r="H16" s="1165">
        <f ca="1">SUM(OFFSET('Output data (results)'!$B$10,H$15-2000,INDEX($M$2:$M$9,MATCH($B16&amp;$C16,$J$2:$J$9,0)),1,INDEX($N$2:$N$9,MATCH($B16&amp;$C16,$J$2:$J$9,0))))</f>
        <v>33.610884126133612</v>
      </c>
      <c r="I16" s="1165">
        <f ca="1">SUM(OFFSET('Output data (results)'!$B$10,I$15-2000,INDEX($M$2:$M$9,MATCH($B16&amp;$C16,$J$2:$J$9,0)),1,INDEX($N$2:$N$9,MATCH($B16&amp;$C16,$J$2:$J$9,0))))</f>
        <v>33.762512225589745</v>
      </c>
      <c r="J16" s="561">
        <f ca="1">SUM(OFFSET('Output data (results)'!$B$10,J$15-2000+INDEX($I$2:$I$4,MATCH($B$1,$H$2:$H$4,0)),INDEX($M$2:$M$9,MATCH($B16&amp;$C16,$J$2:$J$9,0)),1,INDEX($N$2:$N$9,MATCH($B16&amp;$C16,$J$2:$J$9,0))))</f>
        <v>32.890535383779863</v>
      </c>
      <c r="K16" s="561">
        <f ca="1">SUM(OFFSET('Output data (results)'!$B$10,K$15-2000+INDEX($I$2:$I$4,MATCH($B$1,$H$2:$H$4,0)),INDEX($M$2:$M$9,MATCH($B16&amp;$C16,$J$2:$J$9,0)),1,INDEX($N$2:$N$9,MATCH($B16&amp;$C16,$J$2:$J$9,0))))</f>
        <v>32.036506307676866</v>
      </c>
      <c r="L16" s="561">
        <f ca="1">SUM(OFFSET('Output data (results)'!$B$10,L$15-2000+INDEX($I$2:$I$4,MATCH($B$1,$H$2:$H$4,0)),INDEX($M$2:$M$9,MATCH($B16&amp;$C16,$J$2:$J$9,0)),1,INDEX($N$2:$N$9,MATCH($B16&amp;$C16,$J$2:$J$9,0))))</f>
        <v>31.199873572885483</v>
      </c>
      <c r="M16" s="561">
        <f ca="1">SUM(OFFSET('Output data (results)'!$B$10,M$15-2000+INDEX($I$2:$I$4,MATCH($B$1,$H$2:$H$4,0)),INDEX($M$2:$M$9,MATCH($B16&amp;$C16,$J$2:$J$9,0)),1,INDEX($N$2:$N$9,MATCH($B16&amp;$C16,$J$2:$J$9,0))))</f>
        <v>30.39602579104433</v>
      </c>
      <c r="N16" s="561">
        <f ca="1">SUM(OFFSET('Output data (results)'!$B$10,N$15-2000+INDEX($I$2:$I$4,MATCH($B$1,$H$2:$H$4,0)),INDEX($M$2:$M$9,MATCH($B16&amp;$C16,$J$2:$J$9,0)),1,INDEX($N$2:$N$9,MATCH($B16&amp;$C16,$J$2:$J$9,0))))</f>
        <v>29.61603387325232</v>
      </c>
      <c r="O16" s="561">
        <f ca="1">SUM(OFFSET('Output data (results)'!$B$10,O$15-2000+INDEX($I$2:$I$4,MATCH($B$1,$H$2:$H$4,0)),INDEX($M$2:$M$9,MATCH($B16&amp;$C16,$J$2:$J$9,0)),1,INDEX($N$2:$N$9,MATCH($B16&amp;$C16,$J$2:$J$9,0))))</f>
        <v>28.858978272630122</v>
      </c>
      <c r="P16" s="561">
        <f ca="1">SUM(OFFSET('Output data (results)'!$B$10,P$15-2000+INDEX($I$2:$I$4,MATCH($B$1,$H$2:$H$4,0)),INDEX($M$2:$M$9,MATCH($B16&amp;$C16,$J$2:$J$9,0)),1,INDEX($N$2:$N$9,MATCH($B16&amp;$C16,$J$2:$J$9,0))))</f>
        <v>28.124156870320991</v>
      </c>
      <c r="Q16" s="561">
        <f ca="1">SUM(OFFSET('Output data (results)'!$B$10,Q$15-2000+INDEX($I$2:$I$4,MATCH($B$1,$H$2:$H$4,0)),INDEX($M$2:$M$9,MATCH($B16&amp;$C16,$J$2:$J$9,0)),1,INDEX($N$2:$N$9,MATCH($B16&amp;$C16,$J$2:$J$9,0))))</f>
        <v>27.410838406422805</v>
      </c>
      <c r="R16" s="561">
        <f ca="1">SUM(OFFSET('Output data (results)'!$B$10,R$15-2000+INDEX($I$2:$I$4,MATCH($B$1,$H$2:$H$4,0)),INDEX($M$2:$M$9,MATCH($B16&amp;$C16,$J$2:$J$9,0)),1,INDEX($N$2:$N$9,MATCH($B16&amp;$C16,$J$2:$J$9,0))))</f>
        <v>26.730654512197241</v>
      </c>
      <c r="S16" s="561">
        <f ca="1">SUM(OFFSET('Output data (results)'!$B$10,S$15-2000+INDEX($I$2:$I$4,MATCH($B$1,$H$2:$H$4,0)),INDEX($M$2:$M$9,MATCH($B16&amp;$C16,$J$2:$J$9,0)),1,INDEX($N$2:$N$9,MATCH($B16&amp;$C16,$J$2:$J$9,0))))</f>
        <v>26.072963739036915</v>
      </c>
      <c r="T16" s="561">
        <f ca="1">SUM(OFFSET('Output data (results)'!$B$10,T$15-2000+INDEX($I$2:$I$4,MATCH($B$1,$H$2:$H$4,0)),INDEX($M$2:$M$9,MATCH($B16&amp;$C16,$J$2:$J$9,0)),1,INDEX($N$2:$N$9,MATCH($B16&amp;$C16,$J$2:$J$9,0))))</f>
        <v>24.64329124548015</v>
      </c>
      <c r="U16" s="561">
        <f ca="1">SUM(OFFSET('Output data (results)'!$B$10,U$15-2000+INDEX($I$2:$I$4,MATCH($B$1,$H$2:$H$4,0)),INDEX($M$2:$M$9,MATCH($B16&amp;$C16,$J$2:$J$9,0)),1,INDEX($N$2:$N$9,MATCH($B16&amp;$C16,$J$2:$J$9,0))))</f>
        <v>23.292838621939737</v>
      </c>
      <c r="V16" s="561">
        <f ca="1">SUM(OFFSET('Output data (results)'!$B$10,V$15-2000+INDEX($I$2:$I$4,MATCH($B$1,$H$2:$H$4,0)),INDEX($M$2:$M$9,MATCH($B16&amp;$C16,$J$2:$J$9,0)),1,INDEX($N$2:$N$9,MATCH($B16&amp;$C16,$J$2:$J$9,0))))</f>
        <v>22.017271220067308</v>
      </c>
      <c r="W16" s="561">
        <f ca="1">SUM(OFFSET('Output data (results)'!$B$10,W$15-2000+INDEX($I$2:$I$4,MATCH($B$1,$H$2:$H$4,0)),INDEX($M$2:$M$9,MATCH($B16&amp;$C16,$J$2:$J$9,0)),1,INDEX($N$2:$N$9,MATCH($B16&amp;$C16,$J$2:$J$9,0))))</f>
        <v>20.920968124892415</v>
      </c>
      <c r="X16" s="561">
        <f ca="1">SUM(OFFSET('Output data (results)'!$B$10,X$15-2000+INDEX($I$2:$I$4,MATCH($B$1,$H$2:$H$4,0)),INDEX($M$2:$M$9,MATCH($B16&amp;$C16,$J$2:$J$9,0)),1,INDEX($N$2:$N$9,MATCH($B16&amp;$C16,$J$2:$J$9,0))))</f>
        <v>19.830695052577632</v>
      </c>
      <c r="Y16" s="561">
        <f ca="1">SUM(OFFSET('Output data (results)'!$B$10,Y$15-2000+INDEX($I$2:$I$4,MATCH($B$1,$H$2:$H$4,0)),INDEX($M$2:$M$9,MATCH($B16&amp;$C16,$J$2:$J$9,0)),1,INDEX($N$2:$N$9,MATCH($B16&amp;$C16,$J$2:$J$9,0))))</f>
        <v>18.746420495727179</v>
      </c>
      <c r="Z16" s="561">
        <f ca="1">SUM(OFFSET('Output data (results)'!$B$10,Z$15-2000+INDEX($I$2:$I$4,MATCH($B$1,$H$2:$H$4,0)),INDEX($M$2:$M$9,MATCH($B16&amp;$C16,$J$2:$J$9,0)),1,INDEX($N$2:$N$9,MATCH($B16&amp;$C16,$J$2:$J$9,0))))</f>
        <v>17.667863644831936</v>
      </c>
      <c r="AA16" s="561">
        <f ca="1">SUM(OFFSET('Output data (results)'!$B$10,AA$15-2000+INDEX($I$2:$I$4,MATCH($B$1,$H$2:$H$4,0)),INDEX($M$2:$M$9,MATCH($B16&amp;$C16,$J$2:$J$9,0)),1,INDEX($N$2:$N$9,MATCH($B16&amp;$C16,$J$2:$J$9,0))))</f>
        <v>16.59507190426114</v>
      </c>
      <c r="AB16" s="561">
        <f ca="1">SUM(OFFSET('Output data (results)'!$B$10,AB$15-2000+INDEX($I$2:$I$4,MATCH($B$1,$H$2:$H$4,0)),INDEX($M$2:$M$9,MATCH($B16&amp;$C16,$J$2:$J$9,0)),1,INDEX($N$2:$N$9,MATCH($B16&amp;$C16,$J$2:$J$9,0))))</f>
        <v>15.53315286100764</v>
      </c>
      <c r="AC16" s="561">
        <f ca="1">SUM(OFFSET('Output data (results)'!$B$10,AC$15-2000+INDEX($I$2:$I$4,MATCH($B$1,$H$2:$H$4,0)),INDEX($M$2:$M$9,MATCH($B16&amp;$C16,$J$2:$J$9,0)),1,INDEX($N$2:$N$9,MATCH($B16&amp;$C16,$J$2:$J$9,0))))</f>
        <v>15.156271625070209</v>
      </c>
      <c r="AD16" s="561">
        <f ca="1">SUM(OFFSET('Output data (results)'!$B$10,AD$15-2000+INDEX($I$2:$I$4,MATCH($B$1,$H$2:$H$4,0)),INDEX($M$2:$M$9,MATCH($B16&amp;$C16,$J$2:$J$9,0)),1,INDEX($N$2:$N$9,MATCH($B16&amp;$C16,$J$2:$J$9,0))))</f>
        <v>14.476939050213112</v>
      </c>
      <c r="AE16" s="561">
        <f ca="1">SUM(OFFSET('Output data (results)'!$B$10,AE$15-2000+INDEX($I$2:$I$4,MATCH($B$1,$H$2:$H$4,0)),INDEX($M$2:$M$9,MATCH($B16&amp;$C16,$J$2:$J$9,0)),1,INDEX($N$2:$N$9,MATCH($B16&amp;$C16,$J$2:$J$9,0))))</f>
        <v>13.800636214068192</v>
      </c>
      <c r="AF16" s="561">
        <f ca="1">SUM(OFFSET('Output data (results)'!$B$10,AF$15-2000+INDEX($I$2:$I$4,MATCH($B$1,$H$2:$H$4,0)),INDEX($M$2:$M$9,MATCH($B16&amp;$C16,$J$2:$J$9,0)),1,INDEX($N$2:$N$9,MATCH($B16&amp;$C16,$J$2:$J$9,0))))</f>
        <v>13.12730681731334</v>
      </c>
      <c r="AG16" s="561">
        <f ca="1">SUM(OFFSET('Output data (results)'!$B$10,AG$15-2000+INDEX($I$2:$I$4,MATCH($B$1,$H$2:$H$4,0)),INDEX($M$2:$M$9,MATCH($B16&amp;$C16,$J$2:$J$9,0)),1,INDEX($N$2:$N$9,MATCH($B16&amp;$C16,$J$2:$J$9,0))))</f>
        <v>12.460532957747674</v>
      </c>
      <c r="AH16" s="561">
        <f ca="1">SUM(OFFSET('Output data (results)'!$B$10,AH$15-2000+INDEX($I$2:$I$4,MATCH($B$1,$H$2:$H$4,0)),INDEX($M$2:$M$9,MATCH($B16&amp;$C16,$J$2:$J$9,0)),1,INDEX($N$2:$N$9,MATCH($B16&amp;$C16,$J$2:$J$9,0))))</f>
        <v>11.796174043075855</v>
      </c>
      <c r="AI16" s="561">
        <f ca="1">SUM(OFFSET('Output data (results)'!$B$10,AI$15-2000+INDEX($I$2:$I$4,MATCH($B$1,$H$2:$H$4,0)),INDEX($M$2:$M$9,MATCH($B16&amp;$C16,$J$2:$J$9,0)),1,INDEX($N$2:$N$9,MATCH($B16&amp;$C16,$J$2:$J$9,0))))</f>
        <v>11.134149142146203</v>
      </c>
      <c r="AJ16" s="561">
        <f ca="1">SUM(OFFSET('Output data (results)'!$B$10,AJ$15-2000+INDEX($I$2:$I$4,MATCH($B$1,$H$2:$H$4,0)),INDEX($M$2:$M$9,MATCH($B16&amp;$C16,$J$2:$J$9,0)),1,INDEX($N$2:$N$9,MATCH($B16&amp;$C16,$J$2:$J$9,0))))</f>
        <v>10.474466199173415</v>
      </c>
      <c r="AK16" s="561">
        <f ca="1">SUM(OFFSET('Output data (results)'!$B$10,AK$15-2000+INDEX($I$2:$I$4,MATCH($B$1,$H$2:$H$4,0)),INDEX($M$2:$M$9,MATCH($B16&amp;$C16,$J$2:$J$9,0)),1,INDEX($N$2:$N$9,MATCH($B16&amp;$C16,$J$2:$J$9,0))))</f>
        <v>9.8170161256687258</v>
      </c>
      <c r="AL16" s="561">
        <f ca="1">SUM(OFFSET('Output data (results)'!$B$10,AL$15-2000+INDEX($I$2:$I$4,MATCH($B$1,$H$2:$H$4,0)),INDEX($M$2:$M$9,MATCH($B16&amp;$C16,$J$2:$J$9,0)),1,INDEX($N$2:$N$9,MATCH($B16&amp;$C16,$J$2:$J$9,0))))</f>
        <v>9.1645050519911742</v>
      </c>
      <c r="AM16" s="561">
        <f ca="1">SUM(OFFSET('Output data (results)'!$B$10,AM$15-2000+INDEX($I$2:$I$4,MATCH($B$1,$H$2:$H$4,0)),INDEX($M$2:$M$9,MATCH($B16&amp;$C16,$J$2:$J$9,0)),1,INDEX($N$2:$N$9,MATCH($B16&amp;$C16,$J$2:$J$9,0))))</f>
        <v>8.5137617581356313</v>
      </c>
      <c r="AN16" s="561">
        <f ca="1">SUM(OFFSET('Output data (results)'!$B$10,AN$15-2000+INDEX($I$2:$I$4,MATCH($B$1,$H$2:$H$4,0)),INDEX($M$2:$M$9,MATCH($B16&amp;$C16,$J$2:$J$9,0)),1,INDEX($N$2:$N$9,MATCH($B16&amp;$C16,$J$2:$J$9,0))))</f>
        <v>8.5024882375470732</v>
      </c>
      <c r="AO16" s="561">
        <f ca="1">SUM(OFFSET('Output data (results)'!$B$10,AO$15-2000+INDEX($I$2:$I$4,MATCH($B$1,$H$2:$H$4,0)),INDEX($M$2:$M$9,MATCH($B16&amp;$C16,$J$2:$J$9,0)),1,INDEX($N$2:$N$9,MATCH($B16&amp;$C16,$J$2:$J$9,0))))</f>
        <v>8.4913290158216892</v>
      </c>
      <c r="AP16" s="561">
        <f ca="1">SUM(OFFSET('Output data (results)'!$B$10,AP$15-2000+INDEX($I$2:$I$4,MATCH($B$1,$H$2:$H$4,0)),INDEX($M$2:$M$9,MATCH($B16&amp;$C16,$J$2:$J$9,0)),1,INDEX($N$2:$N$9,MATCH($B16&amp;$C16,$J$2:$J$9,0))))</f>
        <v>8.4802250110863984</v>
      </c>
    </row>
    <row r="17" spans="1:42">
      <c r="A17" s="10" t="s">
        <v>673</v>
      </c>
      <c r="B17" t="s">
        <v>677</v>
      </c>
      <c r="C17" t="s">
        <v>188</v>
      </c>
      <c r="D17" s="1165">
        <f ca="1">SUM(OFFSET('Output data (results)'!$B$10,D$15-2000,INDEX($M$2:$M$9,MATCH($B17&amp;$C17,$J$2:$J$9,0)),1,INDEX($N$2:$N$9,MATCH($B17&amp;$C17,$J$2:$J$9,0))))</f>
        <v>906.78535022842459</v>
      </c>
      <c r="E17" s="1165">
        <f ca="1">SUM(OFFSET('Output data (results)'!$B$10,E$15-2000,INDEX($M$2:$M$9,MATCH($B17&amp;$C17,$J$2:$J$9,0)),1,INDEX($N$2:$N$9,MATCH($B17&amp;$C17,$J$2:$J$9,0))))</f>
        <v>895.76236888047777</v>
      </c>
      <c r="F17" s="1165">
        <f ca="1">SUM(OFFSET('Output data (results)'!$B$10,F$15-2000,INDEX($M$2:$M$9,MATCH($B17&amp;$C17,$J$2:$J$9,0)),1,INDEX($N$2:$N$9,MATCH($B17&amp;$C17,$J$2:$J$9,0))))</f>
        <v>883.24212927233145</v>
      </c>
      <c r="G17" s="1165">
        <f ca="1">SUM(OFFSET('Output data (results)'!$B$10,G$15-2000,INDEX($M$2:$M$9,MATCH($B17&amp;$C17,$J$2:$J$9,0)),1,INDEX($N$2:$N$9,MATCH($B17&amp;$C17,$J$2:$J$9,0))))</f>
        <v>869.32260532916098</v>
      </c>
      <c r="H17" s="1165">
        <f ca="1">SUM(OFFSET('Output data (results)'!$B$10,H$15-2000,INDEX($M$2:$M$9,MATCH($B17&amp;$C17,$J$2:$J$9,0)),1,INDEX($N$2:$N$9,MATCH($B17&amp;$C17,$J$2:$J$9,0))))</f>
        <v>854.09623603348291</v>
      </c>
      <c r="I17" s="1165">
        <f ca="1">SUM(OFFSET('Output data (results)'!$B$10,I$15-2000,INDEX($M$2:$M$9,MATCH($B17&amp;$C17,$J$2:$J$9,0)),1,INDEX($N$2:$N$9,MATCH($B17&amp;$C17,$J$2:$J$9,0))))</f>
        <v>837.66056689593597</v>
      </c>
      <c r="J17" s="561">
        <f ca="1">SUM(OFFSET('Output data (results)'!$B$10,J$15-2000+INDEX($I$2:$I$4,MATCH($B$1,$H$2:$H$4,0)),INDEX($M$2:$M$9,MATCH($B17&amp;$C17,$J$2:$J$9,0)),1,INDEX($N$2:$N$9,MATCH($B17&amp;$C17,$J$2:$J$9,0))))</f>
        <v>820.16905115932695</v>
      </c>
      <c r="K17" s="561">
        <f ca="1">SUM(OFFSET('Output data (results)'!$B$10,K$15-2000+INDEX($I$2:$I$4,MATCH($B$1,$H$2:$H$4,0)),INDEX($M$2:$M$9,MATCH($B17&amp;$C17,$J$2:$J$9,0)),1,INDEX($N$2:$N$9,MATCH($B17&amp;$C17,$J$2:$J$9,0))))</f>
        <v>801.34236499845622</v>
      </c>
      <c r="L17" s="561">
        <f ca="1">SUM(OFFSET('Output data (results)'!$B$10,L$15-2000+INDEX($I$2:$I$4,MATCH($B$1,$H$2:$H$4,0)),INDEX($M$2:$M$9,MATCH($B17&amp;$C17,$J$2:$J$9,0)),1,INDEX($N$2:$N$9,MATCH($B17&amp;$C17,$J$2:$J$9,0))))</f>
        <v>781.58324095748401</v>
      </c>
      <c r="M17" s="561">
        <f ca="1">SUM(OFFSET('Output data (results)'!$B$10,M$15-2000+INDEX($I$2:$I$4,MATCH($B$1,$H$2:$H$4,0)),INDEX($M$2:$M$9,MATCH($B17&amp;$C17,$J$2:$J$9,0)),1,INDEX($N$2:$N$9,MATCH($B17&amp;$C17,$J$2:$J$9,0))))</f>
        <v>761.54984516390789</v>
      </c>
      <c r="N17" s="561">
        <f ca="1">SUM(OFFSET('Output data (results)'!$B$10,N$15-2000+INDEX($I$2:$I$4,MATCH($B$1,$H$2:$H$4,0)),INDEX($M$2:$M$9,MATCH($B17&amp;$C17,$J$2:$J$9,0)),1,INDEX($N$2:$N$9,MATCH($B17&amp;$C17,$J$2:$J$9,0))))</f>
        <v>740.92495040543702</v>
      </c>
      <c r="O17" s="561">
        <f ca="1">SUM(OFFSET('Output data (results)'!$B$10,O$15-2000+INDEX($I$2:$I$4,MATCH($B$1,$H$2:$H$4,0)),INDEX($M$2:$M$9,MATCH($B17&amp;$C17,$J$2:$J$9,0)),1,INDEX($N$2:$N$9,MATCH($B17&amp;$C17,$J$2:$J$9,0))))</f>
        <v>720.14908890491745</v>
      </c>
      <c r="P17" s="561">
        <f ca="1">SUM(OFFSET('Output data (results)'!$B$10,P$15-2000+INDEX($I$2:$I$4,MATCH($B$1,$H$2:$H$4,0)),INDEX($M$2:$M$9,MATCH($B17&amp;$C17,$J$2:$J$9,0)),1,INDEX($N$2:$N$9,MATCH($B17&amp;$C17,$J$2:$J$9,0))))</f>
        <v>699.27785189887345</v>
      </c>
      <c r="Q17" s="561">
        <f ca="1">SUM(OFFSET('Output data (results)'!$B$10,Q$15-2000+INDEX($I$2:$I$4,MATCH($B$1,$H$2:$H$4,0)),INDEX($M$2:$M$9,MATCH($B17&amp;$C17,$J$2:$J$9,0)),1,INDEX($N$2:$N$9,MATCH($B17&amp;$C17,$J$2:$J$9,0))))</f>
        <v>678.48076775867116</v>
      </c>
      <c r="R17" s="561">
        <f ca="1">SUM(OFFSET('Output data (results)'!$B$10,R$15-2000+INDEX($I$2:$I$4,MATCH($B$1,$H$2:$H$4,0)),INDEX($M$2:$M$9,MATCH($B17&amp;$C17,$J$2:$J$9,0)),1,INDEX($N$2:$N$9,MATCH($B17&amp;$C17,$J$2:$J$9,0))))</f>
        <v>657.98011308588991</v>
      </c>
      <c r="S17" s="561">
        <f ca="1">SUM(OFFSET('Output data (results)'!$B$10,S$15-2000+INDEX($I$2:$I$4,MATCH($B$1,$H$2:$H$4,0)),INDEX($M$2:$M$9,MATCH($B17&amp;$C17,$J$2:$J$9,0)),1,INDEX($N$2:$N$9,MATCH($B17&amp;$C17,$J$2:$J$9,0))))</f>
        <v>637.59314822549641</v>
      </c>
      <c r="T17" s="561">
        <f ca="1">SUM(OFFSET('Output data (results)'!$B$10,T$15-2000+INDEX($I$2:$I$4,MATCH($B$1,$H$2:$H$4,0)),INDEX($M$2:$M$9,MATCH($B17&amp;$C17,$J$2:$J$9,0)),1,INDEX($N$2:$N$9,MATCH($B17&amp;$C17,$J$2:$J$9,0))))</f>
        <v>617.39031134710388</v>
      </c>
      <c r="U17" s="561">
        <f ca="1">SUM(OFFSET('Output data (results)'!$B$10,U$15-2000+INDEX($I$2:$I$4,MATCH($B$1,$H$2:$H$4,0)),INDEX($M$2:$M$9,MATCH($B17&amp;$C17,$J$2:$J$9,0)),1,INDEX($N$2:$N$9,MATCH($B17&amp;$C17,$J$2:$J$9,0))))</f>
        <v>597.73098797398791</v>
      </c>
      <c r="V17" s="561">
        <f ca="1">SUM(OFFSET('Output data (results)'!$B$10,V$15-2000+INDEX($I$2:$I$4,MATCH($B$1,$H$2:$H$4,0)),INDEX($M$2:$M$9,MATCH($B17&amp;$C17,$J$2:$J$9,0)),1,INDEX($N$2:$N$9,MATCH($B17&amp;$C17,$J$2:$J$9,0))))</f>
        <v>578.62003617800394</v>
      </c>
      <c r="W17" s="561">
        <f ca="1">SUM(OFFSET('Output data (results)'!$B$10,W$15-2000+INDEX($I$2:$I$4,MATCH($B$1,$H$2:$H$4,0)),INDEX($M$2:$M$9,MATCH($B17&amp;$C17,$J$2:$J$9,0)),1,INDEX($N$2:$N$9,MATCH($B17&amp;$C17,$J$2:$J$9,0))))</f>
        <v>560.06219017820149</v>
      </c>
      <c r="X17" s="561">
        <f ca="1">SUM(OFFSET('Output data (results)'!$B$10,X$15-2000+INDEX($I$2:$I$4,MATCH($B$1,$H$2:$H$4,0)),INDEX($M$2:$M$9,MATCH($B17&amp;$C17,$J$2:$J$9,0)),1,INDEX($N$2:$N$9,MATCH($B17&amp;$C17,$J$2:$J$9,0))))</f>
        <v>541.92359453508186</v>
      </c>
      <c r="Y17" s="561">
        <f ca="1">SUM(OFFSET('Output data (results)'!$B$10,Y$15-2000+INDEX($I$2:$I$4,MATCH($B$1,$H$2:$H$4,0)),INDEX($M$2:$M$9,MATCH($B17&amp;$C17,$J$2:$J$9,0)),1,INDEX($N$2:$N$9,MATCH($B17&amp;$C17,$J$2:$J$9,0))))</f>
        <v>524.17602169253962</v>
      </c>
      <c r="Z17" s="561">
        <f ca="1">SUM(OFFSET('Output data (results)'!$B$10,Z$15-2000+INDEX($I$2:$I$4,MATCH($B$1,$H$2:$H$4,0)),INDEX($M$2:$M$9,MATCH($B17&amp;$C17,$J$2:$J$9,0)),1,INDEX($N$2:$N$9,MATCH($B17&amp;$C17,$J$2:$J$9,0))))</f>
        <v>506.79503134896328</v>
      </c>
      <c r="AA17" s="561">
        <f ca="1">SUM(OFFSET('Output data (results)'!$B$10,AA$15-2000+INDEX($I$2:$I$4,MATCH($B$1,$H$2:$H$4,0)),INDEX($M$2:$M$9,MATCH($B17&amp;$C17,$J$2:$J$9,0)),1,INDEX($N$2:$N$9,MATCH($B17&amp;$C17,$J$2:$J$9,0))))</f>
        <v>489.75686326642938</v>
      </c>
      <c r="AB17" s="561">
        <f ca="1">SUM(OFFSET('Output data (results)'!$B$10,AB$15-2000+INDEX($I$2:$I$4,MATCH($B$1,$H$2:$H$4,0)),INDEX($M$2:$M$9,MATCH($B17&amp;$C17,$J$2:$J$9,0)),1,INDEX($N$2:$N$9,MATCH($B17&amp;$C17,$J$2:$J$9,0))))</f>
        <v>473.03887318424324</v>
      </c>
      <c r="AC17" s="561">
        <f ca="1">SUM(OFFSET('Output data (results)'!$B$10,AC$15-2000+INDEX($I$2:$I$4,MATCH($B$1,$H$2:$H$4,0)),INDEX($M$2:$M$9,MATCH($B17&amp;$C17,$J$2:$J$9,0)),1,INDEX($N$2:$N$9,MATCH($B17&amp;$C17,$J$2:$J$9,0))))</f>
        <v>457.06963876802348</v>
      </c>
      <c r="AD17" s="561">
        <f ca="1">SUM(OFFSET('Output data (results)'!$B$10,AD$15-2000+INDEX($I$2:$I$4,MATCH($B$1,$H$2:$H$4,0)),INDEX($M$2:$M$9,MATCH($B17&amp;$C17,$J$2:$J$9,0)),1,INDEX($N$2:$N$9,MATCH($B17&amp;$C17,$J$2:$J$9,0))))</f>
        <v>442.09231005939222</v>
      </c>
      <c r="AE17" s="561">
        <f ca="1">SUM(OFFSET('Output data (results)'!$B$10,AE$15-2000+INDEX($I$2:$I$4,MATCH($B$1,$H$2:$H$4,0)),INDEX($M$2:$M$9,MATCH($B17&amp;$C17,$J$2:$J$9,0)),1,INDEX($N$2:$N$9,MATCH($B17&amp;$C17,$J$2:$J$9,0))))</f>
        <v>427.94948451119546</v>
      </c>
      <c r="AF17" s="561">
        <f ca="1">SUM(OFFSET('Output data (results)'!$B$10,AF$15-2000+INDEX($I$2:$I$4,MATCH($B$1,$H$2:$H$4,0)),INDEX($M$2:$M$9,MATCH($B17&amp;$C17,$J$2:$J$9,0)),1,INDEX($N$2:$N$9,MATCH($B17&amp;$C17,$J$2:$J$9,0))))</f>
        <v>414.61151099132121</v>
      </c>
      <c r="AG17" s="561">
        <f ca="1">SUM(OFFSET('Output data (results)'!$B$10,AG$15-2000+INDEX($I$2:$I$4,MATCH($B$1,$H$2:$H$4,0)),INDEX($M$2:$M$9,MATCH($B17&amp;$C17,$J$2:$J$9,0)),1,INDEX($N$2:$N$9,MATCH($B17&amp;$C17,$J$2:$J$9,0))))</f>
        <v>402.05037913615467</v>
      </c>
      <c r="AH17" s="561">
        <f ca="1">SUM(OFFSET('Output data (results)'!$B$10,AH$15-2000+INDEX($I$2:$I$4,MATCH($B$1,$H$2:$H$4,0)),INDEX($M$2:$M$9,MATCH($B17&amp;$C17,$J$2:$J$9,0)),1,INDEX($N$2:$N$9,MATCH($B17&amp;$C17,$J$2:$J$9,0))))</f>
        <v>389.84597313288901</v>
      </c>
      <c r="AI17" s="561">
        <f ca="1">SUM(OFFSET('Output data (results)'!$B$10,AI$15-2000+INDEX($I$2:$I$4,MATCH($B$1,$H$2:$H$4,0)),INDEX($M$2:$M$9,MATCH($B17&amp;$C17,$J$2:$J$9,0)),1,INDEX($N$2:$N$9,MATCH($B17&amp;$C17,$J$2:$J$9,0))))</f>
        <v>377.99083758879095</v>
      </c>
      <c r="AJ17" s="561">
        <f ca="1">SUM(OFFSET('Output data (results)'!$B$10,AJ$15-2000+INDEX($I$2:$I$4,MATCH($B$1,$H$2:$H$4,0)),INDEX($M$2:$M$9,MATCH($B17&amp;$C17,$J$2:$J$9,0)),1,INDEX($N$2:$N$9,MATCH($B17&amp;$C17,$J$2:$J$9,0))))</f>
        <v>366.47759446980086</v>
      </c>
      <c r="AK17" s="561">
        <f ca="1">SUM(OFFSET('Output data (results)'!$B$10,AK$15-2000+INDEX($I$2:$I$4,MATCH($B$1,$H$2:$H$4,0)),INDEX($M$2:$M$9,MATCH($B17&amp;$C17,$J$2:$J$9,0)),1,INDEX($N$2:$N$9,MATCH($B17&amp;$C17,$J$2:$J$9,0))))</f>
        <v>355.29902718906879</v>
      </c>
      <c r="AL17" s="561">
        <f ca="1">SUM(OFFSET('Output data (results)'!$B$10,AL$15-2000+INDEX($I$2:$I$4,MATCH($B$1,$H$2:$H$4,0)),INDEX($M$2:$M$9,MATCH($B17&amp;$C17,$J$2:$J$9,0)),1,INDEX($N$2:$N$9,MATCH($B17&amp;$C17,$J$2:$J$9,0))))</f>
        <v>344.44836995068692</v>
      </c>
      <c r="AM17" s="561">
        <f ca="1">SUM(OFFSET('Output data (results)'!$B$10,AM$15-2000+INDEX($I$2:$I$4,MATCH($B$1,$H$2:$H$4,0)),INDEX($M$2:$M$9,MATCH($B17&amp;$C17,$J$2:$J$9,0)),1,INDEX($N$2:$N$9,MATCH($B17&amp;$C17,$J$2:$J$9,0))))</f>
        <v>333.91694196800091</v>
      </c>
      <c r="AN17" s="561">
        <f ca="1">SUM(OFFSET('Output data (results)'!$B$10,AN$15-2000+INDEX($I$2:$I$4,MATCH($B$1,$H$2:$H$4,0)),INDEX($M$2:$M$9,MATCH($B17&amp;$C17,$J$2:$J$9,0)),1,INDEX($N$2:$N$9,MATCH($B17&amp;$C17,$J$2:$J$9,0))))</f>
        <v>323.69796171868853</v>
      </c>
      <c r="AO17" s="561">
        <f ca="1">SUM(OFFSET('Output data (results)'!$B$10,AO$15-2000+INDEX($I$2:$I$4,MATCH($B$1,$H$2:$H$4,0)),INDEX($M$2:$M$9,MATCH($B17&amp;$C17,$J$2:$J$9,0)),1,INDEX($N$2:$N$9,MATCH($B17&amp;$C17,$J$2:$J$9,0))))</f>
        <v>314.06709464861888</v>
      </c>
      <c r="AP17" s="561">
        <f ca="1">SUM(OFFSET('Output data (results)'!$B$10,AP$15-2000+INDEX($I$2:$I$4,MATCH($B$1,$H$2:$H$4,0)),INDEX($M$2:$M$9,MATCH($B17&amp;$C17,$J$2:$J$9,0)),1,INDEX($N$2:$N$9,MATCH($B17&amp;$C17,$J$2:$J$9,0))))</f>
        <v>305.0081985530195</v>
      </c>
    </row>
    <row r="18" spans="1:42">
      <c r="A18" s="10" t="s">
        <v>676</v>
      </c>
      <c r="B18" t="s">
        <v>678</v>
      </c>
      <c r="C18" t="s">
        <v>188</v>
      </c>
      <c r="D18" s="1165">
        <f ca="1">SUM(OFFSET('Output data (results)'!$B$10,D$15-2000,INDEX($M$2:$M$9,MATCH($B18&amp;$C18,$J$2:$J$9,0)),1,INDEX($N$2:$N$9,MATCH($B18&amp;$C18,$J$2:$J$9,0))))</f>
        <v>13.694371998924536</v>
      </c>
      <c r="E18" s="1165">
        <f ca="1">SUM(OFFSET('Output data (results)'!$B$10,E$15-2000,INDEX($M$2:$M$9,MATCH($B18&amp;$C18,$J$2:$J$9,0)),1,INDEX($N$2:$N$9,MATCH($B18&amp;$C18,$J$2:$J$9,0))))</f>
        <v>14.968874924682599</v>
      </c>
      <c r="F18" s="1165">
        <f ca="1">SUM(OFFSET('Output data (results)'!$B$10,F$15-2000,INDEX($M$2:$M$9,MATCH($B18&amp;$C18,$J$2:$J$9,0)),1,INDEX($N$2:$N$9,MATCH($B18&amp;$C18,$J$2:$J$9,0))))</f>
        <v>16.144127724389413</v>
      </c>
      <c r="G18" s="1165">
        <f ca="1">SUM(OFFSET('Output data (results)'!$B$10,G$15-2000,INDEX($M$2:$M$9,MATCH($B18&amp;$C18,$J$2:$J$9,0)),1,INDEX($N$2:$N$9,MATCH($B18&amp;$C18,$J$2:$J$9,0))))</f>
        <v>17.214821160797573</v>
      </c>
      <c r="H18" s="1165">
        <f ca="1">SUM(OFFSET('Output data (results)'!$B$10,H$15-2000,INDEX($M$2:$M$9,MATCH($B18&amp;$C18,$J$2:$J$9,0)),1,INDEX($N$2:$N$9,MATCH($B18&amp;$C18,$J$2:$J$9,0))))</f>
        <v>18.184339533517782</v>
      </c>
      <c r="I18" s="1165">
        <f ca="1">SUM(OFFSET('Output data (results)'!$B$10,I$15-2000,INDEX($M$2:$M$9,MATCH($B18&amp;$C18,$J$2:$J$9,0)),1,INDEX($N$2:$N$9,MATCH($B18&amp;$C18,$J$2:$J$9,0))))</f>
        <v>19.101313754836266</v>
      </c>
      <c r="J18" s="561">
        <f ca="1">SUM(OFFSET('Output data (results)'!$B$10,J$15-2000+INDEX($I$2:$I$4,MATCH($B$1,$H$2:$H$4,0)),INDEX($M$2:$M$9,MATCH($B18&amp;$C18,$J$2:$J$9,0)),1,INDEX($N$2:$N$9,MATCH($B18&amp;$C18,$J$2:$J$9,0))))</f>
        <v>20.695619568183908</v>
      </c>
      <c r="K18" s="561">
        <f ca="1">SUM(OFFSET('Output data (results)'!$B$10,K$15-2000+INDEX($I$2:$I$4,MATCH($B$1,$H$2:$H$4,0)),INDEX($M$2:$M$9,MATCH($B18&amp;$C18,$J$2:$J$9,0)),1,INDEX($N$2:$N$9,MATCH($B18&amp;$C18,$J$2:$J$9,0))))</f>
        <v>22.053196679822054</v>
      </c>
      <c r="L18" s="561">
        <f ca="1">SUM(OFFSET('Output data (results)'!$B$10,L$15-2000+INDEX($I$2:$I$4,MATCH($B$1,$H$2:$H$4,0)),INDEX($M$2:$M$9,MATCH($B18&amp;$C18,$J$2:$J$9,0)),1,INDEX($N$2:$N$9,MATCH($B18&amp;$C18,$J$2:$J$9,0))))</f>
        <v>22.876831128480472</v>
      </c>
      <c r="M18" s="561">
        <f ca="1">SUM(OFFSET('Output data (results)'!$B$10,M$15-2000+INDEX($I$2:$I$4,MATCH($B$1,$H$2:$H$4,0)),INDEX($M$2:$M$9,MATCH($B18&amp;$C18,$J$2:$J$9,0)),1,INDEX($N$2:$N$9,MATCH($B18&amp;$C18,$J$2:$J$9,0))))</f>
        <v>24.272353086898473</v>
      </c>
      <c r="N18" s="561">
        <f ca="1">SUM(OFFSET('Output data (results)'!$B$10,N$15-2000+INDEX($I$2:$I$4,MATCH($B$1,$H$2:$H$4,0)),INDEX($M$2:$M$9,MATCH($B18&amp;$C18,$J$2:$J$9,0)),1,INDEX($N$2:$N$9,MATCH($B18&amp;$C18,$J$2:$J$9,0))))</f>
        <v>25.643183916743471</v>
      </c>
      <c r="O18" s="561">
        <f ca="1">SUM(OFFSET('Output data (results)'!$B$10,O$15-2000+INDEX($I$2:$I$4,MATCH($B$1,$H$2:$H$4,0)),INDEX($M$2:$M$9,MATCH($B18&amp;$C18,$J$2:$J$9,0)),1,INDEX($N$2:$N$9,MATCH($B18&amp;$C18,$J$2:$J$9,0))))</f>
        <v>27.162956280660158</v>
      </c>
      <c r="P18" s="561">
        <f ca="1">SUM(OFFSET('Output data (results)'!$B$10,P$15-2000+INDEX($I$2:$I$4,MATCH($B$1,$H$2:$H$4,0)),INDEX($M$2:$M$9,MATCH($B18&amp;$C18,$J$2:$J$9,0)),1,INDEX($N$2:$N$9,MATCH($B18&amp;$C18,$J$2:$J$9,0))))</f>
        <v>28.67823136868228</v>
      </c>
      <c r="Q18" s="561">
        <f ca="1">SUM(OFFSET('Output data (results)'!$B$10,Q$15-2000+INDEX($I$2:$I$4,MATCH($B$1,$H$2:$H$4,0)),INDEX($M$2:$M$9,MATCH($B18&amp;$C18,$J$2:$J$9,0)),1,INDEX($N$2:$N$9,MATCH($B18&amp;$C18,$J$2:$J$9,0))))</f>
        <v>30.198723296742099</v>
      </c>
      <c r="R18" s="561">
        <f ca="1">SUM(OFFSET('Output data (results)'!$B$10,R$15-2000+INDEX($I$2:$I$4,MATCH($B$1,$H$2:$H$4,0)),INDEX($M$2:$M$9,MATCH($B18&amp;$C18,$J$2:$J$9,0)),1,INDEX($N$2:$N$9,MATCH($B18&amp;$C18,$J$2:$J$9,0))))</f>
        <v>31.74314073256096</v>
      </c>
      <c r="S18" s="561">
        <f ca="1">SUM(OFFSET('Output data (results)'!$B$10,S$15-2000+INDEX($I$2:$I$4,MATCH($B$1,$H$2:$H$4,0)),INDEX($M$2:$M$9,MATCH($B18&amp;$C18,$J$2:$J$9,0)),1,INDEX($N$2:$N$9,MATCH($B18&amp;$C18,$J$2:$J$9,0))))</f>
        <v>33.286079064307835</v>
      </c>
      <c r="T18" s="561">
        <f ca="1">SUM(OFFSET('Output data (results)'!$B$10,T$15-2000+INDEX($I$2:$I$4,MATCH($B$1,$H$2:$H$4,0)),INDEX($M$2:$M$9,MATCH($B18&amp;$C18,$J$2:$J$9,0)),1,INDEX($N$2:$N$9,MATCH($B18&amp;$C18,$J$2:$J$9,0))))</f>
        <v>33.443183902224348</v>
      </c>
      <c r="U18" s="561">
        <f ca="1">SUM(OFFSET('Output data (results)'!$B$10,U$15-2000+INDEX($I$2:$I$4,MATCH($B$1,$H$2:$H$4,0)),INDEX($M$2:$M$9,MATCH($B18&amp;$C18,$J$2:$J$9,0)),1,INDEX($N$2:$N$9,MATCH($B18&amp;$C18,$J$2:$J$9,0))))</f>
        <v>33.605485592285682</v>
      </c>
      <c r="V18" s="561">
        <f ca="1">SUM(OFFSET('Output data (results)'!$B$10,V$15-2000+INDEX($I$2:$I$4,MATCH($B$1,$H$2:$H$4,0)),INDEX($M$2:$M$9,MATCH($B18&amp;$C18,$J$2:$J$9,0)),1,INDEX($N$2:$N$9,MATCH($B18&amp;$C18,$J$2:$J$9,0))))</f>
        <v>33.773463843920595</v>
      </c>
      <c r="W18" s="561">
        <f ca="1">SUM(OFFSET('Output data (results)'!$B$10,W$15-2000+INDEX($I$2:$I$4,MATCH($B$1,$H$2:$H$4,0)),INDEX($M$2:$M$9,MATCH($B18&amp;$C18,$J$2:$J$9,0)),1,INDEX($N$2:$N$9,MATCH($B18&amp;$C18,$J$2:$J$9,0))))</f>
        <v>33.975161670818245</v>
      </c>
      <c r="X18" s="561">
        <f ca="1">SUM(OFFSET('Output data (results)'!$B$10,X$15-2000+INDEX($I$2:$I$4,MATCH($B$1,$H$2:$H$4,0)),INDEX($M$2:$M$9,MATCH($B18&amp;$C18,$J$2:$J$9,0)),1,INDEX($N$2:$N$9,MATCH($B18&amp;$C18,$J$2:$J$9,0))))</f>
        <v>34.167385236498035</v>
      </c>
      <c r="Y18" s="561">
        <f ca="1">SUM(OFFSET('Output data (results)'!$B$10,Y$15-2000+INDEX($I$2:$I$4,MATCH($B$1,$H$2:$H$4,0)),INDEX($M$2:$M$9,MATCH($B18&amp;$C18,$J$2:$J$9,0)),1,INDEX($N$2:$N$9,MATCH($B18&amp;$C18,$J$2:$J$9,0))))</f>
        <v>34.380875920185858</v>
      </c>
      <c r="Z18" s="561">
        <f ca="1">SUM(OFFSET('Output data (results)'!$B$10,Z$15-2000+INDEX($I$2:$I$4,MATCH($B$1,$H$2:$H$4,0)),INDEX($M$2:$M$9,MATCH($B18&amp;$C18,$J$2:$J$9,0)),1,INDEX($N$2:$N$9,MATCH($B18&amp;$C18,$J$2:$J$9,0))))</f>
        <v>34.609157644593552</v>
      </c>
      <c r="AA18" s="561">
        <f ca="1">SUM(OFFSET('Output data (results)'!$B$10,AA$15-2000+INDEX($I$2:$I$4,MATCH($B$1,$H$2:$H$4,0)),INDEX($M$2:$M$9,MATCH($B18&amp;$C18,$J$2:$J$9,0)),1,INDEX($N$2:$N$9,MATCH($B18&amp;$C18,$J$2:$J$9,0))))</f>
        <v>34.853149852792903</v>
      </c>
      <c r="AB18" s="561">
        <f ca="1">SUM(OFFSET('Output data (results)'!$B$10,AB$15-2000+INDEX($I$2:$I$4,MATCH($B$1,$H$2:$H$4,0)),INDEX($M$2:$M$9,MATCH($B18&amp;$C18,$J$2:$J$9,0)),1,INDEX($N$2:$N$9,MATCH($B18&amp;$C18,$J$2:$J$9,0))))</f>
        <v>35.104357690316405</v>
      </c>
      <c r="AC18" s="561">
        <f ca="1">SUM(OFFSET('Output data (results)'!$B$10,AC$15-2000+INDEX($I$2:$I$4,MATCH($B$1,$H$2:$H$4,0)),INDEX($M$2:$M$9,MATCH($B18&amp;$C18,$J$2:$J$9,0)),1,INDEX($N$2:$N$9,MATCH($B18&amp;$C18,$J$2:$J$9,0))))</f>
        <v>35.36625905052253</v>
      </c>
      <c r="AD18" s="561">
        <f ca="1">SUM(OFFSET('Output data (results)'!$B$10,AD$15-2000+INDEX($I$2:$I$4,MATCH($B$1,$H$2:$H$4,0)),INDEX($M$2:$M$9,MATCH($B18&amp;$C18,$J$2:$J$9,0)),1,INDEX($N$2:$N$9,MATCH($B18&amp;$C18,$J$2:$J$9,0))))</f>
        <v>35.632157989301582</v>
      </c>
      <c r="AE18" s="561">
        <f ca="1">SUM(OFFSET('Output data (results)'!$B$10,AE$15-2000+INDEX($I$2:$I$4,MATCH($B$1,$H$2:$H$4,0)),INDEX($M$2:$M$9,MATCH($B18&amp;$C18,$J$2:$J$9,0)),1,INDEX($N$2:$N$9,MATCH($B18&amp;$C18,$J$2:$J$9,0))))</f>
        <v>35.90899030547763</v>
      </c>
      <c r="AF18" s="561">
        <f ca="1">SUM(OFFSET('Output data (results)'!$B$10,AF$15-2000+INDEX($I$2:$I$4,MATCH($B$1,$H$2:$H$4,0)),INDEX($M$2:$M$9,MATCH($B18&amp;$C18,$J$2:$J$9,0)),1,INDEX($N$2:$N$9,MATCH($B18&amp;$C18,$J$2:$J$9,0))))</f>
        <v>36.202772354802939</v>
      </c>
      <c r="AG18" s="561">
        <f ca="1">SUM(OFFSET('Output data (results)'!$B$10,AG$15-2000+INDEX($I$2:$I$4,MATCH($B$1,$H$2:$H$4,0)),INDEX($M$2:$M$9,MATCH($B18&amp;$C18,$J$2:$J$9,0)),1,INDEX($N$2:$N$9,MATCH($B18&amp;$C18,$J$2:$J$9,0))))</f>
        <v>36.508647079311395</v>
      </c>
      <c r="AH18" s="561">
        <f ca="1">SUM(OFFSET('Output data (results)'!$B$10,AH$15-2000+INDEX($I$2:$I$4,MATCH($B$1,$H$2:$H$4,0)),INDEX($M$2:$M$9,MATCH($B18&amp;$C18,$J$2:$J$9,0)),1,INDEX($N$2:$N$9,MATCH($B18&amp;$C18,$J$2:$J$9,0))))</f>
        <v>36.827573897860496</v>
      </c>
      <c r="AI18" s="561">
        <f ca="1">SUM(OFFSET('Output data (results)'!$B$10,AI$15-2000+INDEX($I$2:$I$4,MATCH($B$1,$H$2:$H$4,0)),INDEX($M$2:$M$9,MATCH($B18&amp;$C18,$J$2:$J$9,0)),1,INDEX($N$2:$N$9,MATCH($B18&amp;$C18,$J$2:$J$9,0))))</f>
        <v>37.158753294735646</v>
      </c>
      <c r="AJ18" s="561">
        <f ca="1">SUM(OFFSET('Output data (results)'!$B$10,AJ$15-2000+INDEX($I$2:$I$4,MATCH($B$1,$H$2:$H$4,0)),INDEX($M$2:$M$9,MATCH($B18&amp;$C18,$J$2:$J$9,0)),1,INDEX($N$2:$N$9,MATCH($B18&amp;$C18,$J$2:$J$9,0))))</f>
        <v>37.503964192401817</v>
      </c>
      <c r="AK18" s="561">
        <f ca="1">SUM(OFFSET('Output data (results)'!$B$10,AK$15-2000+INDEX($I$2:$I$4,MATCH($B$1,$H$2:$H$4,0)),INDEX($M$2:$M$9,MATCH($B18&amp;$C18,$J$2:$J$9,0)),1,INDEX($N$2:$N$9,MATCH($B18&amp;$C18,$J$2:$J$9,0))))</f>
        <v>37.87060211121895</v>
      </c>
      <c r="AL18" s="561">
        <f ca="1">SUM(OFFSET('Output data (results)'!$B$10,AL$15-2000+INDEX($I$2:$I$4,MATCH($B$1,$H$2:$H$4,0)),INDEX($M$2:$M$9,MATCH($B18&amp;$C18,$J$2:$J$9,0)),1,INDEX($N$2:$N$9,MATCH($B18&amp;$C18,$J$2:$J$9,0))))</f>
        <v>38.255369048864353</v>
      </c>
      <c r="AM18" s="561">
        <f ca="1">SUM(OFFSET('Output data (results)'!$B$10,AM$15-2000+INDEX($I$2:$I$4,MATCH($B$1,$H$2:$H$4,0)),INDEX($M$2:$M$9,MATCH($B18&amp;$C18,$J$2:$J$9,0)),1,INDEX($N$2:$N$9,MATCH($B18&amp;$C18,$J$2:$J$9,0))))</f>
        <v>38.65850486005241</v>
      </c>
      <c r="AN18" s="561">
        <f ca="1">SUM(OFFSET('Output data (results)'!$B$10,AN$15-2000+INDEX($I$2:$I$4,MATCH($B$1,$H$2:$H$4,0)),INDEX($M$2:$M$9,MATCH($B18&amp;$C18,$J$2:$J$9,0)),1,INDEX($N$2:$N$9,MATCH($B18&amp;$C18,$J$2:$J$9,0))))</f>
        <v>39.066277862385093</v>
      </c>
      <c r="AO18" s="561">
        <f ca="1">SUM(OFFSET('Output data (results)'!$B$10,AO$15-2000+INDEX($I$2:$I$4,MATCH($B$1,$H$2:$H$4,0)),INDEX($M$2:$M$9,MATCH($B18&amp;$C18,$J$2:$J$9,0)),1,INDEX($N$2:$N$9,MATCH($B18&amp;$C18,$J$2:$J$9,0))))</f>
        <v>39.494158684939649</v>
      </c>
      <c r="AP18" s="561">
        <f ca="1">SUM(OFFSET('Output data (results)'!$B$10,AP$15-2000+INDEX($I$2:$I$4,MATCH($B$1,$H$2:$H$4,0)),INDEX($M$2:$M$9,MATCH($B18&amp;$C18,$J$2:$J$9,0)),1,INDEX($N$2:$N$9,MATCH($B18&amp;$C18,$J$2:$J$9,0))))</f>
        <v>39.943746359145273</v>
      </c>
    </row>
    <row r="19" spans="1:42">
      <c r="A19" s="10" t="s">
        <v>674</v>
      </c>
      <c r="B19" t="s">
        <v>679</v>
      </c>
      <c r="C19" t="s">
        <v>188</v>
      </c>
      <c r="D19" s="1165">
        <f ca="1">SUM(OFFSET('Output data (results)'!$B$10,D$15-2000,INDEX($M$2:$M$9,MATCH($B19&amp;$C19,$J$2:$J$9,0)),1,INDEX($N$2:$N$9,MATCH($B19&amp;$C19,$J$2:$J$9,0))))</f>
        <v>10.819303086999996</v>
      </c>
      <c r="E19" s="1165">
        <f ca="1">SUM(OFFSET('Output data (results)'!$B$10,E$15-2000,INDEX($M$2:$M$9,MATCH($B19&amp;$C19,$J$2:$J$9,0)),1,INDEX($N$2:$N$9,MATCH($B19&amp;$C19,$J$2:$J$9,0))))</f>
        <v>10.981838318356312</v>
      </c>
      <c r="F19" s="1165">
        <f ca="1">SUM(OFFSET('Output data (results)'!$B$10,F$15-2000,INDEX($M$2:$M$9,MATCH($B19&amp;$C19,$J$2:$J$9,0)),1,INDEX($N$2:$N$9,MATCH($B19&amp;$C19,$J$2:$J$9,0))))</f>
        <v>11.118476305649356</v>
      </c>
      <c r="G19" s="1165">
        <f ca="1">SUM(OFFSET('Output data (results)'!$B$10,G$15-2000,INDEX($M$2:$M$9,MATCH($B19&amp;$C19,$J$2:$J$9,0)),1,INDEX($N$2:$N$9,MATCH($B19&amp;$C19,$J$2:$J$9,0))))</f>
        <v>11.22793697445876</v>
      </c>
      <c r="H19" s="1165">
        <f ca="1">SUM(OFFSET('Output data (results)'!$B$10,H$15-2000,INDEX($M$2:$M$9,MATCH($B19&amp;$C19,$J$2:$J$9,0)),1,INDEX($N$2:$N$9,MATCH($B19&amp;$C19,$J$2:$J$9,0))))</f>
        <v>11.309033498703608</v>
      </c>
      <c r="I19" s="1165">
        <f ca="1">SUM(OFFSET('Output data (results)'!$B$10,I$15-2000,INDEX($M$2:$M$9,MATCH($B19&amp;$C19,$J$2:$J$9,0)),1,INDEX($N$2:$N$9,MATCH($B19&amp;$C19,$J$2:$J$9,0))))</f>
        <v>11.360051712019837</v>
      </c>
      <c r="J19" s="561">
        <f ca="1">SUM(OFFSET('Output data (results)'!$B$10,J$15-2000+INDEX($I$2:$I$4,MATCH($B$1,$H$2:$H$4,0)),INDEX($M$2:$M$9,MATCH($B19&amp;$C19,$J$2:$J$9,0)),1,INDEX($N$2:$N$9,MATCH($B19&amp;$C19,$J$2:$J$9,0))))</f>
        <v>11.066658200646708</v>
      </c>
      <c r="K19" s="561">
        <f ca="1">SUM(OFFSET('Output data (results)'!$B$10,K$15-2000+INDEX($I$2:$I$4,MATCH($B$1,$H$2:$H$4,0)),INDEX($M$2:$M$9,MATCH($B19&amp;$C19,$J$2:$J$9,0)),1,INDEX($N$2:$N$9,MATCH($B19&amp;$C19,$J$2:$J$9,0))))</f>
        <v>10.779303562956411</v>
      </c>
      <c r="L19" s="561">
        <f ca="1">SUM(OFFSET('Output data (results)'!$B$10,L$15-2000+INDEX($I$2:$I$4,MATCH($B$1,$H$2:$H$4,0)),INDEX($M$2:$M$9,MATCH($B19&amp;$C19,$J$2:$J$9,0)),1,INDEX($N$2:$N$9,MATCH($B19&amp;$C19,$J$2:$J$9,0))))</f>
        <v>10.497802261522001</v>
      </c>
      <c r="M19" s="561">
        <f ca="1">SUM(OFFSET('Output data (results)'!$B$10,M$15-2000+INDEX($I$2:$I$4,MATCH($B$1,$H$2:$H$4,0)),INDEX($M$2:$M$9,MATCH($B19&amp;$C19,$J$2:$J$9,0)),1,INDEX($N$2:$N$9,MATCH($B19&amp;$C19,$J$2:$J$9,0))))</f>
        <v>10.227332093031791</v>
      </c>
      <c r="N19" s="561">
        <f ca="1">SUM(OFFSET('Output data (results)'!$B$10,N$15-2000+INDEX($I$2:$I$4,MATCH($B$1,$H$2:$H$4,0)),INDEX($M$2:$M$9,MATCH($B19&amp;$C19,$J$2:$J$9,0)),1,INDEX($N$2:$N$9,MATCH($B19&amp;$C19,$J$2:$J$9,0))))</f>
        <v>9.9648886924379578</v>
      </c>
      <c r="O19" s="561">
        <f ca="1">SUM(OFFSET('Output data (results)'!$B$10,O$15-2000+INDEX($I$2:$I$4,MATCH($B$1,$H$2:$H$4,0)),INDEX($M$2:$M$9,MATCH($B19&amp;$C19,$J$2:$J$9,0)),1,INDEX($N$2:$N$9,MATCH($B19&amp;$C19,$J$2:$J$9,0))))</f>
        <v>9.7101626603678675</v>
      </c>
      <c r="P19" s="561">
        <f ca="1">SUM(OFFSET('Output data (results)'!$B$10,P$15-2000+INDEX($I$2:$I$4,MATCH($B$1,$H$2:$H$4,0)),INDEX($M$2:$M$9,MATCH($B19&amp;$C19,$J$2:$J$9,0)),1,INDEX($N$2:$N$9,MATCH($B19&amp;$C19,$J$2:$J$9,0))))</f>
        <v>9.4629177553218575</v>
      </c>
      <c r="Q19" s="561">
        <f ca="1">SUM(OFFSET('Output data (results)'!$B$10,Q$15-2000+INDEX($I$2:$I$4,MATCH($B$1,$H$2:$H$4,0)),INDEX($M$2:$M$9,MATCH($B19&amp;$C19,$J$2:$J$9,0)),1,INDEX($N$2:$N$9,MATCH($B19&amp;$C19,$J$2:$J$9,0))))</f>
        <v>9.2229079307306598</v>
      </c>
      <c r="R19" s="561">
        <f ca="1">SUM(OFFSET('Output data (results)'!$B$10,R$15-2000+INDEX($I$2:$I$4,MATCH($B$1,$H$2:$H$4,0)),INDEX($M$2:$M$9,MATCH($B19&amp;$C19,$J$2:$J$9,0)),1,INDEX($N$2:$N$9,MATCH($B19&amp;$C19,$J$2:$J$9,0))))</f>
        <v>8.994046874407104</v>
      </c>
      <c r="S19" s="561">
        <f ca="1">SUM(OFFSET('Output data (results)'!$B$10,S$15-2000+INDEX($I$2:$I$4,MATCH($B$1,$H$2:$H$4,0)),INDEX($M$2:$M$9,MATCH($B19&amp;$C19,$J$2:$J$9,0)),1,INDEX($N$2:$N$9,MATCH($B19&amp;$C19,$J$2:$J$9,0))))</f>
        <v>8.772754064686719</v>
      </c>
      <c r="T19" s="561">
        <f ca="1">SUM(OFFSET('Output data (results)'!$B$10,T$15-2000+INDEX($I$2:$I$4,MATCH($B$1,$H$2:$H$4,0)),INDEX($M$2:$M$9,MATCH($B19&amp;$C19,$J$2:$J$9,0)),1,INDEX($N$2:$N$9,MATCH($B19&amp;$C19,$J$2:$J$9,0))))</f>
        <v>8.2917130405609285</v>
      </c>
      <c r="U19" s="561">
        <f ca="1">SUM(OFFSET('Output data (results)'!$B$10,U$15-2000+INDEX($I$2:$I$4,MATCH($B$1,$H$2:$H$4,0)),INDEX($M$2:$M$9,MATCH($B19&amp;$C19,$J$2:$J$9,0)),1,INDEX($N$2:$N$9,MATCH($B19&amp;$C19,$J$2:$J$9,0))))</f>
        <v>7.8373270773498049</v>
      </c>
      <c r="V19" s="561">
        <f ca="1">SUM(OFFSET('Output data (results)'!$B$10,V$15-2000+INDEX($I$2:$I$4,MATCH($B$1,$H$2:$H$4,0)),INDEX($M$2:$M$9,MATCH($B19&amp;$C19,$J$2:$J$9,0)),1,INDEX($N$2:$N$9,MATCH($B19&amp;$C19,$J$2:$J$9,0))))</f>
        <v>7.4081376985909939</v>
      </c>
      <c r="W19" s="561">
        <f ca="1">SUM(OFFSET('Output data (results)'!$B$10,W$15-2000+INDEX($I$2:$I$4,MATCH($B$1,$H$2:$H$4,0)),INDEX($M$2:$M$9,MATCH($B19&amp;$C19,$J$2:$J$9,0)),1,INDEX($N$2:$N$9,MATCH($B19&amp;$C19,$J$2:$J$9,0))))</f>
        <v>7.0392652707923649</v>
      </c>
      <c r="X19" s="561">
        <f ca="1">SUM(OFFSET('Output data (results)'!$B$10,X$15-2000+INDEX($I$2:$I$4,MATCH($B$1,$H$2:$H$4,0)),INDEX($M$2:$M$9,MATCH($B19&amp;$C19,$J$2:$J$9,0)),1,INDEX($N$2:$N$9,MATCH($B19&amp;$C19,$J$2:$J$9,0))))</f>
        <v>6.6724217610747676</v>
      </c>
      <c r="Y19" s="561">
        <f ca="1">SUM(OFFSET('Output data (results)'!$B$10,Y$15-2000+INDEX($I$2:$I$4,MATCH($B$1,$H$2:$H$4,0)),INDEX($M$2:$M$9,MATCH($B19&amp;$C19,$J$2:$J$9,0)),1,INDEX($N$2:$N$9,MATCH($B19&amp;$C19,$J$2:$J$9,0))))</f>
        <v>6.3075965681641302</v>
      </c>
      <c r="Z19" s="561">
        <f ca="1">SUM(OFFSET('Output data (results)'!$B$10,Z$15-2000+INDEX($I$2:$I$4,MATCH($B$1,$H$2:$H$4,0)),INDEX($M$2:$M$9,MATCH($B19&amp;$C19,$J$2:$J$9,0)),1,INDEX($N$2:$N$9,MATCH($B19&amp;$C19,$J$2:$J$9,0))))</f>
        <v>5.9446952082577216</v>
      </c>
      <c r="AA19" s="561">
        <f ca="1">SUM(OFFSET('Output data (results)'!$B$10,AA$15-2000+INDEX($I$2:$I$4,MATCH($B$1,$H$2:$H$4,0)),INDEX($M$2:$M$9,MATCH($B19&amp;$C19,$J$2:$J$9,0)),1,INDEX($N$2:$N$9,MATCH($B19&amp;$C19,$J$2:$J$9,0))))</f>
        <v>5.5837336314744892</v>
      </c>
      <c r="AB19" s="561">
        <f ca="1">SUM(OFFSET('Output data (results)'!$B$10,AB$15-2000+INDEX($I$2:$I$4,MATCH($B$1,$H$2:$H$4,0)),INDEX($M$2:$M$9,MATCH($B19&amp;$C19,$J$2:$J$9,0)),1,INDEX($N$2:$N$9,MATCH($B19&amp;$C19,$J$2:$J$9,0))))</f>
        <v>5.22643038446685</v>
      </c>
      <c r="AC19" s="561">
        <f ca="1">SUM(OFFSET('Output data (results)'!$B$10,AC$15-2000+INDEX($I$2:$I$4,MATCH($B$1,$H$2:$H$4,0)),INDEX($M$2:$M$9,MATCH($B19&amp;$C19,$J$2:$J$9,0)),1,INDEX($N$2:$N$9,MATCH($B19&amp;$C19,$J$2:$J$9,0))))</f>
        <v>5.0996213869333609</v>
      </c>
      <c r="AD19" s="561">
        <f ca="1">SUM(OFFSET('Output data (results)'!$B$10,AD$15-2000+INDEX($I$2:$I$4,MATCH($B$1,$H$2:$H$4,0)),INDEX($M$2:$M$9,MATCH($B19&amp;$C19,$J$2:$J$9,0)),1,INDEX($N$2:$N$9,MATCH($B19&amp;$C19,$J$2:$J$9,0))))</f>
        <v>4.8710467735138341</v>
      </c>
      <c r="AE19" s="561">
        <f ca="1">SUM(OFFSET('Output data (results)'!$B$10,AE$15-2000+INDEX($I$2:$I$4,MATCH($B$1,$H$2:$H$4,0)),INDEX($M$2:$M$9,MATCH($B19&amp;$C19,$J$2:$J$9,0)),1,INDEX($N$2:$N$9,MATCH($B19&amp;$C19,$J$2:$J$9,0))))</f>
        <v>4.6434915744143757</v>
      </c>
      <c r="AF19" s="561">
        <f ca="1">SUM(OFFSET('Output data (results)'!$B$10,AF$15-2000+INDEX($I$2:$I$4,MATCH($B$1,$H$2:$H$4,0)),INDEX($M$2:$M$9,MATCH($B19&amp;$C19,$J$2:$J$9,0)),1,INDEX($N$2:$N$9,MATCH($B19&amp;$C19,$J$2:$J$9,0))))</f>
        <v>4.4169368466367205</v>
      </c>
      <c r="AG19" s="561">
        <f ca="1">SUM(OFFSET('Output data (results)'!$B$10,AG$15-2000+INDEX($I$2:$I$4,MATCH($B$1,$H$2:$H$4,0)),INDEX($M$2:$M$9,MATCH($B19&amp;$C19,$J$2:$J$9,0)),1,INDEX($N$2:$N$9,MATCH($B19&amp;$C19,$J$2:$J$9,0))))</f>
        <v>4.192587856423013</v>
      </c>
      <c r="AH19" s="561">
        <f ca="1">SUM(OFFSET('Output data (results)'!$B$10,AH$15-2000+INDEX($I$2:$I$4,MATCH($B$1,$H$2:$H$4,0)),INDEX($M$2:$M$9,MATCH($B19&amp;$C19,$J$2:$J$9,0)),1,INDEX($N$2:$N$9,MATCH($B19&amp;$C19,$J$2:$J$9,0))))</f>
        <v>3.9690514212316472</v>
      </c>
      <c r="AI19" s="561">
        <f ca="1">SUM(OFFSET('Output data (results)'!$B$10,AI$15-2000+INDEX($I$2:$I$4,MATCH($B$1,$H$2:$H$4,0)),INDEX($M$2:$M$9,MATCH($B19&amp;$C19,$J$2:$J$9,0)),1,INDEX($N$2:$N$9,MATCH($B19&amp;$C19,$J$2:$J$9,0))))</f>
        <v>3.7463003102078201</v>
      </c>
      <c r="AJ19" s="561">
        <f ca="1">SUM(OFFSET('Output data (results)'!$B$10,AJ$15-2000+INDEX($I$2:$I$4,MATCH($B$1,$H$2:$H$4,0)),INDEX($M$2:$M$9,MATCH($B19&amp;$C19,$J$2:$J$9,0)),1,INDEX($N$2:$N$9,MATCH($B19&amp;$C19,$J$2:$J$9,0))))</f>
        <v>3.5243371963365622</v>
      </c>
      <c r="AK19" s="561">
        <f ca="1">SUM(OFFSET('Output data (results)'!$B$10,AK$15-2000+INDEX($I$2:$I$4,MATCH($B$1,$H$2:$H$4,0)),INDEX($M$2:$M$9,MATCH($B19&amp;$C19,$J$2:$J$9,0)),1,INDEX($N$2:$N$9,MATCH($B19&amp;$C19,$J$2:$J$9,0))))</f>
        <v>3.3031253746811897</v>
      </c>
      <c r="AL19" s="561">
        <f ca="1">SUM(OFFSET('Output data (results)'!$B$10,AL$15-2000+INDEX($I$2:$I$4,MATCH($B$1,$H$2:$H$4,0)),INDEX($M$2:$M$9,MATCH($B19&amp;$C19,$J$2:$J$9,0)),1,INDEX($N$2:$N$9,MATCH($B19&amp;$C19,$J$2:$J$9,0))))</f>
        <v>3.0835753752583281</v>
      </c>
      <c r="AM19" s="561">
        <f ca="1">SUM(OFFSET('Output data (results)'!$B$10,AM$15-2000+INDEX($I$2:$I$4,MATCH($B$1,$H$2:$H$4,0)),INDEX($M$2:$M$9,MATCH($B19&amp;$C19,$J$2:$J$9,0)),1,INDEX($N$2:$N$9,MATCH($B19&amp;$C19,$J$2:$J$9,0))))</f>
        <v>2.8646201796243345</v>
      </c>
      <c r="AN19" s="561">
        <f ca="1">SUM(OFFSET('Output data (results)'!$B$10,AN$15-2000+INDEX($I$2:$I$4,MATCH($B$1,$H$2:$H$4,0)),INDEX($M$2:$M$9,MATCH($B19&amp;$C19,$J$2:$J$9,0)),1,INDEX($N$2:$N$9,MATCH($B19&amp;$C19,$J$2:$J$9,0))))</f>
        <v>2.8608269850893189</v>
      </c>
      <c r="AO19" s="561">
        <f ca="1">SUM(OFFSET('Output data (results)'!$B$10,AO$15-2000+INDEX($I$2:$I$4,MATCH($B$1,$H$2:$H$4,0)),INDEX($M$2:$M$9,MATCH($B19&amp;$C19,$J$2:$J$9,0)),1,INDEX($N$2:$N$9,MATCH($B19&amp;$C19,$J$2:$J$9,0))))</f>
        <v>2.8570722486224582</v>
      </c>
      <c r="AP19" s="561">
        <f ca="1">SUM(OFFSET('Output data (results)'!$B$10,AP$15-2000+INDEX($I$2:$I$4,MATCH($B$1,$H$2:$H$4,0)),INDEX($M$2:$M$9,MATCH($B19&amp;$C19,$J$2:$J$9,0)),1,INDEX($N$2:$N$9,MATCH($B19&amp;$C19,$J$2:$J$9,0))))</f>
        <v>2.8533360909822743</v>
      </c>
    </row>
    <row r="20" spans="1:42">
      <c r="A20" s="10" t="s">
        <v>675</v>
      </c>
      <c r="B20" t="s">
        <v>680</v>
      </c>
      <c r="C20" t="s">
        <v>188</v>
      </c>
      <c r="D20" s="1165">
        <f ca="1">SUM(OFFSET('Output data (results)'!$B$10,D$15-2000,INDEX($M$2:$M$9,MATCH($B20&amp;$C20,$J$2:$J$9,0)),1,INDEX($N$2:$N$9,MATCH($B20&amp;$C20,$J$2:$J$9,0))))</f>
        <v>121.41922272207</v>
      </c>
      <c r="E20" s="1165">
        <f ca="1">SUM(OFFSET('Output data (results)'!$B$10,E$15-2000,INDEX($M$2:$M$9,MATCH($B20&amp;$C20,$J$2:$J$9,0)),1,INDEX($N$2:$N$9,MATCH($B20&amp;$C20,$J$2:$J$9,0))))</f>
        <v>123.22687823091842</v>
      </c>
      <c r="F20" s="1165">
        <f ca="1">SUM(OFFSET('Output data (results)'!$B$10,F$15-2000,INDEX($M$2:$M$9,MATCH($B20&amp;$C20,$J$2:$J$9,0)),1,INDEX($N$2:$N$9,MATCH($B20&amp;$C20,$J$2:$J$9,0))))</f>
        <v>125.10182771891525</v>
      </c>
      <c r="G20" s="1165">
        <f ca="1">SUM(OFFSET('Output data (results)'!$B$10,G$15-2000,INDEX($M$2:$M$9,MATCH($B20&amp;$C20,$J$2:$J$9,0)),1,INDEX($N$2:$N$9,MATCH($B20&amp;$C20,$J$2:$J$9,0))))</f>
        <v>127.04639166810001</v>
      </c>
      <c r="H20" s="1165">
        <f ca="1">SUM(OFFSET('Output data (results)'!$B$10,H$15-2000,INDEX($M$2:$M$9,MATCH($B20&amp;$C20,$J$2:$J$9,0)),1,INDEX($N$2:$N$9,MATCH($B20&amp;$C20,$J$2:$J$9,0))))</f>
        <v>129.06521104255199</v>
      </c>
      <c r="I20" s="1165">
        <f ca="1">SUM(OFFSET('Output data (results)'!$B$10,I$15-2000,INDEX($M$2:$M$9,MATCH($B20&amp;$C20,$J$2:$J$9,0)),1,INDEX($N$2:$N$9,MATCH($B20&amp;$C20,$J$2:$J$9,0))))</f>
        <v>131.15828584227123</v>
      </c>
      <c r="J20" s="561">
        <f ca="1">SUM(OFFSET('Output data (results)'!$B$10,J$15-2000+INDEX($I$2:$I$4,MATCH($B$1,$H$2:$H$4,0)),INDEX($M$2:$M$9,MATCH($B20&amp;$C20,$J$2:$J$9,0)),1,INDEX($N$2:$N$9,MATCH($B20&amp;$C20,$J$2:$J$9,0))))</f>
        <v>134.80820881535828</v>
      </c>
      <c r="K20" s="561">
        <f ca="1">SUM(OFFSET('Output data (results)'!$B$10,K$15-2000+INDEX($I$2:$I$4,MATCH($B$1,$H$2:$H$4,0)),INDEX($M$2:$M$9,MATCH($B20&amp;$C20,$J$2:$J$9,0)),1,INDEX($N$2:$N$9,MATCH($B20&amp;$C20,$J$2:$J$9,0))))</f>
        <v>138.54240079281473</v>
      </c>
      <c r="L20" s="561">
        <f ca="1">SUM(OFFSET('Output data (results)'!$B$10,L$15-2000+INDEX($I$2:$I$4,MATCH($B$1,$H$2:$H$4,0)),INDEX($M$2:$M$9,MATCH($B20&amp;$C20,$J$2:$J$9,0)),1,INDEX($N$2:$N$9,MATCH($B20&amp;$C20,$J$2:$J$9,0))))</f>
        <v>142.36205971856938</v>
      </c>
      <c r="M20" s="561">
        <f ca="1">SUM(OFFSET('Output data (results)'!$B$10,M$15-2000+INDEX($I$2:$I$4,MATCH($B$1,$H$2:$H$4,0)),INDEX($M$2:$M$9,MATCH($B20&amp;$C20,$J$2:$J$9,0)),1,INDEX($N$2:$N$9,MATCH($B20&amp;$C20,$J$2:$J$9,0))))</f>
        <v>145.59854093589945</v>
      </c>
      <c r="N20" s="561">
        <f ca="1">SUM(OFFSET('Output data (results)'!$B$10,N$15-2000+INDEX($I$2:$I$4,MATCH($B$1,$H$2:$H$4,0)),INDEX($M$2:$M$9,MATCH($B20&amp;$C20,$J$2:$J$9,0)),1,INDEX($N$2:$N$9,MATCH($B20&amp;$C20,$J$2:$J$9,0))))</f>
        <v>148.88856151515967</v>
      </c>
      <c r="O20" s="561">
        <f ca="1">SUM(OFFSET('Output data (results)'!$B$10,O$15-2000+INDEX($I$2:$I$4,MATCH($B$1,$H$2:$H$4,0)),INDEX($M$2:$M$9,MATCH($B20&amp;$C20,$J$2:$J$9,0)),1,INDEX($N$2:$N$9,MATCH($B20&amp;$C20,$J$2:$J$9,0))))</f>
        <v>152.2376409126438</v>
      </c>
      <c r="P20" s="561">
        <f ca="1">SUM(OFFSET('Output data (results)'!$B$10,P$15-2000+INDEX($I$2:$I$4,MATCH($B$1,$H$2:$H$4,0)),INDEX($M$2:$M$9,MATCH($B20&amp;$C20,$J$2:$J$9,0)),1,INDEX($N$2:$N$9,MATCH($B20&amp;$C20,$J$2:$J$9,0))))</f>
        <v>155.64399106583625</v>
      </c>
      <c r="Q20" s="561">
        <f ca="1">SUM(OFFSET('Output data (results)'!$B$10,Q$15-2000+INDEX($I$2:$I$4,MATCH($B$1,$H$2:$H$4,0)),INDEX($M$2:$M$9,MATCH($B20&amp;$C20,$J$2:$J$9,0)),1,INDEX($N$2:$N$9,MATCH($B20&amp;$C20,$J$2:$J$9,0))))</f>
        <v>159.10825087816576</v>
      </c>
      <c r="R20" s="561">
        <f ca="1">SUM(OFFSET('Output data (results)'!$B$10,R$15-2000+INDEX($I$2:$I$4,MATCH($B$1,$H$2:$H$4,0)),INDEX($M$2:$M$9,MATCH($B20&amp;$C20,$J$2:$J$9,0)),1,INDEX($N$2:$N$9,MATCH($B20&amp;$C20,$J$2:$J$9,0))))</f>
        <v>162.3622518163962</v>
      </c>
      <c r="S20" s="561">
        <f ca="1">SUM(OFFSET('Output data (results)'!$B$10,S$15-2000+INDEX($I$2:$I$4,MATCH($B$1,$H$2:$H$4,0)),INDEX($M$2:$M$9,MATCH($B20&amp;$C20,$J$2:$J$9,0)),1,INDEX($N$2:$N$9,MATCH($B20&amp;$C20,$J$2:$J$9,0))))</f>
        <v>165.66726312381803</v>
      </c>
      <c r="T20" s="561">
        <f ca="1">SUM(OFFSET('Output data (results)'!$B$10,T$15-2000+INDEX($I$2:$I$4,MATCH($B$1,$H$2:$H$4,0)),INDEX($M$2:$M$9,MATCH($B20&amp;$C20,$J$2:$J$9,0)),1,INDEX($N$2:$N$9,MATCH($B20&amp;$C20,$J$2:$J$9,0))))</f>
        <v>169.01861721537597</v>
      </c>
      <c r="U20" s="561">
        <f ca="1">SUM(OFFSET('Output data (results)'!$B$10,U$15-2000+INDEX($I$2:$I$4,MATCH($B$1,$H$2:$H$4,0)),INDEX($M$2:$M$9,MATCH($B20&amp;$C20,$J$2:$J$9,0)),1,INDEX($N$2:$N$9,MATCH($B20&amp;$C20,$J$2:$J$9,0))))</f>
        <v>172.42199327322078</v>
      </c>
      <c r="V20" s="561">
        <f ca="1">SUM(OFFSET('Output data (results)'!$B$10,V$15-2000+INDEX($I$2:$I$4,MATCH($B$1,$H$2:$H$4,0)),INDEX($M$2:$M$9,MATCH($B20&amp;$C20,$J$2:$J$9,0)),1,INDEX($N$2:$N$9,MATCH($B20&amp;$C20,$J$2:$J$9,0))))</f>
        <v>175.87528378312254</v>
      </c>
      <c r="W20" s="561">
        <f ca="1">SUM(OFFSET('Output data (results)'!$B$10,W$15-2000+INDEX($I$2:$I$4,MATCH($B$1,$H$2:$H$4,0)),INDEX($M$2:$M$9,MATCH($B20&amp;$C20,$J$2:$J$9,0)),1,INDEX($N$2:$N$9,MATCH($B20&amp;$C20,$J$2:$J$9,0))))</f>
        <v>179.14735481190519</v>
      </c>
      <c r="X20" s="561">
        <f ca="1">SUM(OFFSET('Output data (results)'!$B$10,X$15-2000+INDEX($I$2:$I$4,MATCH($B$1,$H$2:$H$4,0)),INDEX($M$2:$M$9,MATCH($B20&amp;$C20,$J$2:$J$9,0)),1,INDEX($N$2:$N$9,MATCH($B20&amp;$C20,$J$2:$J$9,0))))</f>
        <v>182.46300004329916</v>
      </c>
      <c r="Y20" s="561">
        <f ca="1">SUM(OFFSET('Output data (results)'!$B$10,Y$15-2000+INDEX($I$2:$I$4,MATCH($B$1,$H$2:$H$4,0)),INDEX($M$2:$M$9,MATCH($B20&amp;$C20,$J$2:$J$9,0)),1,INDEX($N$2:$N$9,MATCH($B20&amp;$C20,$J$2:$J$9,0))))</f>
        <v>185.81987237428893</v>
      </c>
      <c r="Z20" s="561">
        <f ca="1">SUM(OFFSET('Output data (results)'!$B$10,Z$15-2000+INDEX($I$2:$I$4,MATCH($B$1,$H$2:$H$4,0)),INDEX($M$2:$M$9,MATCH($B20&amp;$C20,$J$2:$J$9,0)),1,INDEX($N$2:$N$9,MATCH($B20&amp;$C20,$J$2:$J$9,0))))</f>
        <v>189.22383733385854</v>
      </c>
      <c r="AA20" s="561">
        <f ca="1">SUM(OFFSET('Output data (results)'!$B$10,AA$15-2000+INDEX($I$2:$I$4,MATCH($B$1,$H$2:$H$4,0)),INDEX($M$2:$M$9,MATCH($B20&amp;$C20,$J$2:$J$9,0)),1,INDEX($N$2:$N$9,MATCH($B20&amp;$C20,$J$2:$J$9,0))))</f>
        <v>192.66977478035747</v>
      </c>
      <c r="AB20" s="561">
        <f ca="1">SUM(OFFSET('Output data (results)'!$B$10,AB$15-2000+INDEX($I$2:$I$4,MATCH($B$1,$H$2:$H$4,0)),INDEX($M$2:$M$9,MATCH($B20&amp;$C20,$J$2:$J$9,0)),1,INDEX($N$2:$N$9,MATCH($B20&amp;$C20,$J$2:$J$9,0))))</f>
        <v>195.92624915733671</v>
      </c>
      <c r="AC20" s="561">
        <f ca="1">SUM(OFFSET('Output data (results)'!$B$10,AC$15-2000+INDEX($I$2:$I$4,MATCH($B$1,$H$2:$H$4,0)),INDEX($M$2:$M$9,MATCH($B20&amp;$C20,$J$2:$J$9,0)),1,INDEX($N$2:$N$9,MATCH($B20&amp;$C20,$J$2:$J$9,0))))</f>
        <v>199.21811618301393</v>
      </c>
      <c r="AD20" s="561">
        <f ca="1">SUM(OFFSET('Output data (results)'!$B$10,AD$15-2000+INDEX($I$2:$I$4,MATCH($B$1,$H$2:$H$4,0)),INDEX($M$2:$M$9,MATCH($B20&amp;$C20,$J$2:$J$9,0)),1,INDEX($N$2:$N$9,MATCH($B20&amp;$C20,$J$2:$J$9,0))))</f>
        <v>202.55137449125439</v>
      </c>
      <c r="AE20" s="561">
        <f ca="1">SUM(OFFSET('Output data (results)'!$B$10,AE$15-2000+INDEX($I$2:$I$4,MATCH($B$1,$H$2:$H$4,0)),INDEX($M$2:$M$9,MATCH($B20&amp;$C20,$J$2:$J$9,0)),1,INDEX($N$2:$N$9,MATCH($B20&amp;$C20,$J$2:$J$9,0))))</f>
        <v>205.92061110966921</v>
      </c>
      <c r="AF20" s="561">
        <f ca="1">SUM(OFFSET('Output data (results)'!$B$10,AF$15-2000+INDEX($I$2:$I$4,MATCH($B$1,$H$2:$H$4,0)),INDEX($M$2:$M$9,MATCH($B20&amp;$C20,$J$2:$J$9,0)),1,INDEX($N$2:$N$9,MATCH($B20&amp;$C20,$J$2:$J$9,0))))</f>
        <v>209.32606562704407</v>
      </c>
      <c r="AG20" s="561">
        <f ca="1">SUM(OFFSET('Output data (results)'!$B$10,AG$15-2000+INDEX($I$2:$I$4,MATCH($B$1,$H$2:$H$4,0)),INDEX($M$2:$M$9,MATCH($B20&amp;$C20,$J$2:$J$9,0)),1,INDEX($N$2:$N$9,MATCH($B20&amp;$C20,$J$2:$J$9,0))))</f>
        <v>212.54010495110225</v>
      </c>
      <c r="AH20" s="561">
        <f ca="1">SUM(OFFSET('Output data (results)'!$B$10,AH$15-2000+INDEX($I$2:$I$4,MATCH($B$1,$H$2:$H$4,0)),INDEX($M$2:$M$9,MATCH($B20&amp;$C20,$J$2:$J$9,0)),1,INDEX($N$2:$N$9,MATCH($B20&amp;$C20,$J$2:$J$9,0))))</f>
        <v>215.78375571491307</v>
      </c>
      <c r="AI20" s="561">
        <f ca="1">SUM(OFFSET('Output data (results)'!$B$10,AI$15-2000+INDEX($I$2:$I$4,MATCH($B$1,$H$2:$H$4,0)),INDEX($M$2:$M$9,MATCH($B20&amp;$C20,$J$2:$J$9,0)),1,INDEX($N$2:$N$9,MATCH($B20&amp;$C20,$J$2:$J$9,0))))</f>
        <v>219.06019027175444</v>
      </c>
      <c r="AJ20" s="561">
        <f ca="1">SUM(OFFSET('Output data (results)'!$B$10,AJ$15-2000+INDEX($I$2:$I$4,MATCH($B$1,$H$2:$H$4,0)),INDEX($M$2:$M$9,MATCH($B20&amp;$C20,$J$2:$J$9,0)),1,INDEX($N$2:$N$9,MATCH($B20&amp;$C20,$J$2:$J$9,0))))</f>
        <v>222.36660896201545</v>
      </c>
      <c r="AK20" s="561">
        <f ca="1">SUM(OFFSET('Output data (results)'!$B$10,AK$15-2000+INDEX($I$2:$I$4,MATCH($B$1,$H$2:$H$4,0)),INDEX($M$2:$M$9,MATCH($B20&amp;$C20,$J$2:$J$9,0)),1,INDEX($N$2:$N$9,MATCH($B20&amp;$C20,$J$2:$J$9,0))))</f>
        <v>225.70930325029914</v>
      </c>
      <c r="AL20" s="561">
        <f ca="1">SUM(OFFSET('Output data (results)'!$B$10,AL$15-2000+INDEX($I$2:$I$4,MATCH($B$1,$H$2:$H$4,0)),INDEX($M$2:$M$9,MATCH($B20&amp;$C20,$J$2:$J$9,0)),1,INDEX($N$2:$N$9,MATCH($B20&amp;$C20,$J$2:$J$9,0))))</f>
        <v>228.82882339897614</v>
      </c>
      <c r="AM20" s="561">
        <f ca="1">SUM(OFFSET('Output data (results)'!$B$10,AM$15-2000+INDEX($I$2:$I$4,MATCH($B$1,$H$2:$H$4,0)),INDEX($M$2:$M$9,MATCH($B20&amp;$C20,$J$2:$J$9,0)),1,INDEX($N$2:$N$9,MATCH($B20&amp;$C20,$J$2:$J$9,0))))</f>
        <v>231.97766661377796</v>
      </c>
      <c r="AN20" s="561">
        <f ca="1">SUM(OFFSET('Output data (results)'!$B$10,AN$15-2000+INDEX($I$2:$I$4,MATCH($B$1,$H$2:$H$4,0)),INDEX($M$2:$M$9,MATCH($B20&amp;$C20,$J$2:$J$9,0)),1,INDEX($N$2:$N$9,MATCH($B20&amp;$C20,$J$2:$J$9,0))))</f>
        <v>235.1529267511888</v>
      </c>
      <c r="AO20" s="561">
        <f ca="1">SUM(OFFSET('Output data (results)'!$B$10,AO$15-2000+INDEX($I$2:$I$4,MATCH($B$1,$H$2:$H$4,0)),INDEX($M$2:$M$9,MATCH($B20&amp;$C20,$J$2:$J$9,0)),1,INDEX($N$2:$N$9,MATCH($B20&amp;$C20,$J$2:$J$9,0))))</f>
        <v>238.35159118378778</v>
      </c>
      <c r="AP20" s="561">
        <f ca="1">SUM(OFFSET('Output data (results)'!$B$10,AP$15-2000+INDEX($I$2:$I$4,MATCH($B$1,$H$2:$H$4,0)),INDEX($M$2:$M$9,MATCH($B20&amp;$C20,$J$2:$J$9,0)),1,INDEX($N$2:$N$9,MATCH($B20&amp;$C20,$J$2:$J$9,0))))</f>
        <v>241.58013772301177</v>
      </c>
    </row>
    <row r="21" spans="1:42">
      <c r="A21" s="10" t="s">
        <v>676</v>
      </c>
      <c r="B21" t="s">
        <v>678</v>
      </c>
      <c r="C21" t="s">
        <v>191</v>
      </c>
      <c r="D21" s="1165">
        <f ca="1">SUM(OFFSET('Output data (results)'!$B$10,D$15-2000,INDEX($M$2:$M$9,MATCH($B21&amp;$C21,$J$2:$J$9,0)),1,INDEX($N$2:$N$9,MATCH($B21&amp;$C21,$J$2:$J$9,0))))</f>
        <v>0.80917422282775919</v>
      </c>
      <c r="E21" s="1165">
        <f ca="1">SUM(OFFSET('Output data (results)'!$B$10,E$15-2000,INDEX($M$2:$M$9,MATCH($B21&amp;$C21,$J$2:$J$9,0)),1,INDEX($N$2:$N$9,MATCH($B21&amp;$C21,$J$2:$J$9,0))))</f>
        <v>0.88475048811804968</v>
      </c>
      <c r="F21" s="1165">
        <f ca="1">SUM(OFFSET('Output data (results)'!$B$10,F$15-2000,INDEX($M$2:$M$9,MATCH($B21&amp;$C21,$J$2:$J$9,0)),1,INDEX($N$2:$N$9,MATCH($B21&amp;$C21,$J$2:$J$9,0))))</f>
        <v>0.9544555031445523</v>
      </c>
      <c r="G21" s="1165">
        <f ca="1">SUM(OFFSET('Output data (results)'!$B$10,G$15-2000,INDEX($M$2:$M$9,MATCH($B21&amp;$C21,$J$2:$J$9,0)),1,INDEX($N$2:$N$9,MATCH($B21&amp;$C21,$J$2:$J$9,0))))</f>
        <v>1.0179756613934907</v>
      </c>
      <c r="H21" s="1165">
        <f ca="1">SUM(OFFSET('Output data (results)'!$B$10,H$15-2000,INDEX($M$2:$M$9,MATCH($B21&amp;$C21,$J$2:$J$9,0)),1,INDEX($N$2:$N$9,MATCH($B21&amp;$C21,$J$2:$J$9,0))))</f>
        <v>1.0755075876176117</v>
      </c>
      <c r="I21" s="1165">
        <f ca="1">SUM(OFFSET('Output data (results)'!$B$10,I$15-2000,INDEX($M$2:$M$9,MATCH($B21&amp;$C21,$J$2:$J$9,0)),1,INDEX($N$2:$N$9,MATCH($B21&amp;$C21,$J$2:$J$9,0))))</f>
        <v>1.1299032066934032</v>
      </c>
      <c r="J21" s="561">
        <f ca="1">SUM(OFFSET('Output data (results)'!$B$10,J$15-2000+INDEX($I$2:$I$4,MATCH($B$1,$H$2:$H$4,0)),INDEX($M$2:$M$9,MATCH($B21&amp;$C21,$J$2:$J$9,0)),1,INDEX($N$2:$N$9,MATCH($B21&amp;$C21,$J$2:$J$9,0))))</f>
        <v>1.2224803286395503</v>
      </c>
      <c r="K21" s="561">
        <f ca="1">SUM(OFFSET('Output data (results)'!$B$10,K$15-2000+INDEX($I$2:$I$4,MATCH($B$1,$H$2:$H$4,0)),INDEX($M$2:$M$9,MATCH($B21&amp;$C21,$J$2:$J$9,0)),1,INDEX($N$2:$N$9,MATCH($B21&amp;$C21,$J$2:$J$9,0))))</f>
        <v>1.3007046492059877</v>
      </c>
      <c r="L21" s="561">
        <f ca="1">SUM(OFFSET('Output data (results)'!$B$10,L$15-2000+INDEX($I$2:$I$4,MATCH($B$1,$H$2:$H$4,0)),INDEX($M$2:$M$9,MATCH($B21&amp;$C21,$J$2:$J$9,0)),1,INDEX($N$2:$N$9,MATCH($B21&amp;$C21,$J$2:$J$9,0))))</f>
        <v>1.347272319040081</v>
      </c>
      <c r="M21" s="561">
        <f ca="1">SUM(OFFSET('Output data (results)'!$B$10,M$15-2000+INDEX($I$2:$I$4,MATCH($B$1,$H$2:$H$4,0)),INDEX($M$2:$M$9,MATCH($B21&amp;$C21,$J$2:$J$9,0)),1,INDEX($N$2:$N$9,MATCH($B21&amp;$C21,$J$2:$J$9,0))))</f>
        <v>1.427090761324356</v>
      </c>
      <c r="N21" s="561">
        <f ca="1">SUM(OFFSET('Output data (results)'!$B$10,N$15-2000+INDEX($I$2:$I$4,MATCH($B$1,$H$2:$H$4,0)),INDEX($M$2:$M$9,MATCH($B21&amp;$C21,$J$2:$J$9,0)),1,INDEX($N$2:$N$9,MATCH($B21&amp;$C21,$J$2:$J$9,0))))</f>
        <v>1.5051434038088558</v>
      </c>
      <c r="O21" s="561">
        <f ca="1">SUM(OFFSET('Output data (results)'!$B$10,O$15-2000+INDEX($I$2:$I$4,MATCH($B$1,$H$2:$H$4,0)),INDEX($M$2:$M$9,MATCH($B21&amp;$C21,$J$2:$J$9,0)),1,INDEX($N$2:$N$9,MATCH($B21&amp;$C21,$J$2:$J$9,0))))</f>
        <v>1.5943474338648351</v>
      </c>
      <c r="P21" s="561">
        <f ca="1">SUM(OFFSET('Output data (results)'!$B$10,P$15-2000+INDEX($I$2:$I$4,MATCH($B$1,$H$2:$H$4,0)),INDEX($M$2:$M$9,MATCH($B21&amp;$C21,$J$2:$J$9,0)),1,INDEX($N$2:$N$9,MATCH($B21&amp;$C21,$J$2:$J$9,0))))</f>
        <v>1.6832874933791775</v>
      </c>
      <c r="Q21" s="561">
        <f ca="1">SUM(OFFSET('Output data (results)'!$B$10,Q$15-2000+INDEX($I$2:$I$4,MATCH($B$1,$H$2:$H$4,0)),INDEX($M$2:$M$9,MATCH($B21&amp;$C21,$J$2:$J$9,0)),1,INDEX($N$2:$N$9,MATCH($B21&amp;$C21,$J$2:$J$9,0))))</f>
        <v>1.7725337587218188</v>
      </c>
      <c r="R21" s="561">
        <f ca="1">SUM(OFFSET('Output data (results)'!$B$10,R$15-2000+INDEX($I$2:$I$4,MATCH($B$1,$H$2:$H$4,0)),INDEX($M$2:$M$9,MATCH($B21&amp;$C21,$J$2:$J$9,0)),1,INDEX($N$2:$N$9,MATCH($B21&amp;$C21,$J$2:$J$9,0))))</f>
        <v>1.863184347345969</v>
      </c>
      <c r="S21" s="561">
        <f ca="1">SUM(OFFSET('Output data (results)'!$B$10,S$15-2000+INDEX($I$2:$I$4,MATCH($B$1,$H$2:$H$4,0)),INDEX($M$2:$M$9,MATCH($B21&amp;$C21,$J$2:$J$9,0)),1,INDEX($N$2:$N$9,MATCH($B21&amp;$C21,$J$2:$J$9,0))))</f>
        <v>1.9537481189919812</v>
      </c>
      <c r="T21" s="561">
        <f ca="1">SUM(OFFSET('Output data (results)'!$B$10,T$15-2000+INDEX($I$2:$I$4,MATCH($B$1,$H$2:$H$4,0)),INDEX($M$2:$M$9,MATCH($B21&amp;$C21,$J$2:$J$9,0)),1,INDEX($N$2:$N$9,MATCH($B21&amp;$C21,$J$2:$J$9,0))))</f>
        <v>1.962969489913168</v>
      </c>
      <c r="U21" s="561">
        <f ca="1">SUM(OFFSET('Output data (results)'!$B$10,U$15-2000+INDEX($I$2:$I$4,MATCH($B$1,$H$2:$H$4,0)),INDEX($M$2:$M$9,MATCH($B21&amp;$C21,$J$2:$J$9,0)),1,INDEX($N$2:$N$9,MATCH($B21&amp;$C21,$J$2:$J$9,0))))</f>
        <v>1.9724958934602463</v>
      </c>
      <c r="V21" s="561">
        <f ca="1">SUM(OFFSET('Output data (results)'!$B$10,V$15-2000+INDEX($I$2:$I$4,MATCH($B$1,$H$2:$H$4,0)),INDEX($M$2:$M$9,MATCH($B21&amp;$C21,$J$2:$J$9,0)),1,INDEX($N$2:$N$9,MATCH($B21&amp;$C21,$J$2:$J$9,0))))</f>
        <v>1.9823554864909911</v>
      </c>
      <c r="W21" s="561">
        <f ca="1">SUM(OFFSET('Output data (results)'!$B$10,W$15-2000+INDEX($I$2:$I$4,MATCH($B$1,$H$2:$H$4,0)),INDEX($M$2:$M$9,MATCH($B21&amp;$C21,$J$2:$J$9,0)),1,INDEX($N$2:$N$9,MATCH($B21&amp;$C21,$J$2:$J$9,0))))</f>
        <v>1.9941942719828099</v>
      </c>
      <c r="X21" s="561">
        <f ca="1">SUM(OFFSET('Output data (results)'!$B$10,X$15-2000+INDEX($I$2:$I$4,MATCH($B$1,$H$2:$H$4,0)),INDEX($M$2:$M$9,MATCH($B21&amp;$C21,$J$2:$J$9,0)),1,INDEX($N$2:$N$9,MATCH($B21&amp;$C21,$J$2:$J$9,0))))</f>
        <v>2.00547695953358</v>
      </c>
      <c r="Y21" s="561">
        <f ca="1">SUM(OFFSET('Output data (results)'!$B$10,Y$15-2000+INDEX($I$2:$I$4,MATCH($B$1,$H$2:$H$4,0)),INDEX($M$2:$M$9,MATCH($B21&amp;$C21,$J$2:$J$9,0)),1,INDEX($N$2:$N$9,MATCH($B21&amp;$C21,$J$2:$J$9,0))))</f>
        <v>2.0180079344456914</v>
      </c>
      <c r="Z21" s="561">
        <f ca="1">SUM(OFFSET('Output data (results)'!$B$10,Z$15-2000+INDEX($I$2:$I$4,MATCH($B$1,$H$2:$H$4,0)),INDEX($M$2:$M$9,MATCH($B21&amp;$C21,$J$2:$J$9,0)),1,INDEX($N$2:$N$9,MATCH($B21&amp;$C21,$J$2:$J$9,0))))</f>
        <v>2.0314070791391865</v>
      </c>
      <c r="AA21" s="561">
        <f ca="1">SUM(OFFSET('Output data (results)'!$B$10,AA$15-2000+INDEX($I$2:$I$4,MATCH($B$1,$H$2:$H$4,0)),INDEX($M$2:$M$9,MATCH($B21&amp;$C21,$J$2:$J$9,0)),1,INDEX($N$2:$N$9,MATCH($B21&amp;$C21,$J$2:$J$9,0))))</f>
        <v>2.0457283609248007</v>
      </c>
      <c r="AB21" s="561">
        <f ca="1">SUM(OFFSET('Output data (results)'!$B$10,AB$15-2000+INDEX($I$2:$I$4,MATCH($B$1,$H$2:$H$4,0)),INDEX($M$2:$M$9,MATCH($B21&amp;$C21,$J$2:$J$9,0)),1,INDEX($N$2:$N$9,MATCH($B21&amp;$C21,$J$2:$J$9,0))))</f>
        <v>2.0604731687794411</v>
      </c>
      <c r="AC21" s="561">
        <f ca="1">SUM(OFFSET('Output data (results)'!$B$10,AC$15-2000+INDEX($I$2:$I$4,MATCH($B$1,$H$2:$H$4,0)),INDEX($M$2:$M$9,MATCH($B21&amp;$C21,$J$2:$J$9,0)),1,INDEX($N$2:$N$9,MATCH($B21&amp;$C21,$J$2:$J$9,0))))</f>
        <v>2.0758456399219742</v>
      </c>
      <c r="AD21" s="561">
        <f ca="1">SUM(OFFSET('Output data (results)'!$B$10,AD$15-2000+INDEX($I$2:$I$4,MATCH($B$1,$H$2:$H$4,0)),INDEX($M$2:$M$9,MATCH($B21&amp;$C21,$J$2:$J$9,0)),1,INDEX($N$2:$N$9,MATCH($B21&amp;$C21,$J$2:$J$9,0))))</f>
        <v>2.0914527515459622</v>
      </c>
      <c r="AE21" s="561">
        <f ca="1">SUM(OFFSET('Output data (results)'!$B$10,AE$15-2000+INDEX($I$2:$I$4,MATCH($B$1,$H$2:$H$4,0)),INDEX($M$2:$M$9,MATCH($B21&amp;$C21,$J$2:$J$9,0)),1,INDEX($N$2:$N$9,MATCH($B21&amp;$C21,$J$2:$J$9,0))))</f>
        <v>2.1077016048867305</v>
      </c>
      <c r="AF21" s="561">
        <f ca="1">SUM(OFFSET('Output data (results)'!$B$10,AF$15-2000+INDEX($I$2:$I$4,MATCH($B$1,$H$2:$H$4,0)),INDEX($M$2:$M$9,MATCH($B21&amp;$C21,$J$2:$J$9,0)),1,INDEX($N$2:$N$9,MATCH($B21&amp;$C21,$J$2:$J$9,0))))</f>
        <v>2.124945333868868</v>
      </c>
      <c r="AG21" s="561">
        <f ca="1">SUM(OFFSET('Output data (results)'!$B$10,AG$15-2000+INDEX($I$2:$I$4,MATCH($B$1,$H$2:$H$4,0)),INDEX($M$2:$M$9,MATCH($B21&amp;$C21,$J$2:$J$9,0)),1,INDEX($N$2:$N$9,MATCH($B21&amp;$C21,$J$2:$J$9,0))))</f>
        <v>2.1428988503074073</v>
      </c>
      <c r="AH21" s="561">
        <f ca="1">SUM(OFFSET('Output data (results)'!$B$10,AH$15-2000+INDEX($I$2:$I$4,MATCH($B$1,$H$2:$H$4,0)),INDEX($M$2:$M$9,MATCH($B21&amp;$C21,$J$2:$J$9,0)),1,INDEX($N$2:$N$9,MATCH($B21&amp;$C21,$J$2:$J$9,0))))</f>
        <v>2.161618467917898</v>
      </c>
      <c r="AI21" s="561">
        <f ca="1">SUM(OFFSET('Output data (results)'!$B$10,AI$15-2000+INDEX($I$2:$I$4,MATCH($B$1,$H$2:$H$4,0)),INDEX($M$2:$M$9,MATCH($B21&amp;$C21,$J$2:$J$9,0)),1,INDEX($N$2:$N$9,MATCH($B21&amp;$C21,$J$2:$J$9,0))))</f>
        <v>2.1810572586040484</v>
      </c>
      <c r="AJ21" s="561">
        <f ca="1">SUM(OFFSET('Output data (results)'!$B$10,AJ$15-2000+INDEX($I$2:$I$4,MATCH($B$1,$H$2:$H$4,0)),INDEX($M$2:$M$9,MATCH($B21&amp;$C21,$J$2:$J$9,0)),1,INDEX($N$2:$N$9,MATCH($B21&amp;$C21,$J$2:$J$9,0))))</f>
        <v>2.2013196373801067</v>
      </c>
      <c r="AK21" s="561">
        <f ca="1">SUM(OFFSET('Output data (results)'!$B$10,AK$15-2000+INDEX($I$2:$I$4,MATCH($B$1,$H$2:$H$4,0)),INDEX($M$2:$M$9,MATCH($B21&amp;$C21,$J$2:$J$9,0)),1,INDEX($N$2:$N$9,MATCH($B21&amp;$C21,$J$2:$J$9,0))))</f>
        <v>2.2228396891367641</v>
      </c>
      <c r="AL21" s="561">
        <f ca="1">SUM(OFFSET('Output data (results)'!$B$10,AL$15-2000+INDEX($I$2:$I$4,MATCH($B$1,$H$2:$H$4,0)),INDEX($M$2:$M$9,MATCH($B21&amp;$C21,$J$2:$J$9,0)),1,INDEX($N$2:$N$9,MATCH($B21&amp;$C21,$J$2:$J$9,0))))</f>
        <v>2.2454238354768203</v>
      </c>
      <c r="AM21" s="561">
        <f ca="1">SUM(OFFSET('Output data (results)'!$B$10,AM$15-2000+INDEX($I$2:$I$4,MATCH($B$1,$H$2:$H$4,0)),INDEX($M$2:$M$9,MATCH($B21&amp;$C21,$J$2:$J$9,0)),1,INDEX($N$2:$N$9,MATCH($B21&amp;$C21,$J$2:$J$9,0))))</f>
        <v>2.269086154829163</v>
      </c>
      <c r="AN21" s="561">
        <f ca="1">SUM(OFFSET('Output data (results)'!$B$10,AN$15-2000+INDEX($I$2:$I$4,MATCH($B$1,$H$2:$H$4,0)),INDEX($M$2:$M$9,MATCH($B21&amp;$C21,$J$2:$J$9,0)),1,INDEX($N$2:$N$9,MATCH($B21&amp;$C21,$J$2:$J$9,0))))</f>
        <v>2.2930206571399943</v>
      </c>
      <c r="AO21" s="561">
        <f ca="1">SUM(OFFSET('Output data (results)'!$B$10,AO$15-2000+INDEX($I$2:$I$4,MATCH($B$1,$H$2:$H$4,0)),INDEX($M$2:$M$9,MATCH($B21&amp;$C21,$J$2:$J$9,0)),1,INDEX($N$2:$N$9,MATCH($B21&amp;$C21,$J$2:$J$9,0))))</f>
        <v>2.3181354010725443</v>
      </c>
      <c r="AP21" s="561">
        <f ca="1">SUM(OFFSET('Output data (results)'!$B$10,AP$15-2000+INDEX($I$2:$I$4,MATCH($B$1,$H$2:$H$4,0)),INDEX($M$2:$M$9,MATCH($B21&amp;$C21,$J$2:$J$9,0)),1,INDEX($N$2:$N$9,MATCH($B21&amp;$C21,$J$2:$J$9,0))))</f>
        <v>2.344524242819396</v>
      </c>
    </row>
    <row r="22" spans="1:42">
      <c r="A22" s="10" t="s">
        <v>674</v>
      </c>
      <c r="B22" t="s">
        <v>679</v>
      </c>
      <c r="C22" t="s">
        <v>191</v>
      </c>
      <c r="D22" s="1165">
        <f ca="1">SUM(OFFSET('Output data (results)'!$B$10,D$15-2000,INDEX($M$2:$M$9,MATCH($B22&amp;$C22,$J$2:$J$9,0)),1,INDEX($N$2:$N$9,MATCH($B22&amp;$C22,$J$2:$J$9,0))))</f>
        <v>0.15062295992382718</v>
      </c>
      <c r="E22" s="1165">
        <f ca="1">SUM(OFFSET('Output data (results)'!$B$10,E$15-2000,INDEX($M$2:$M$9,MATCH($B22&amp;$C22,$J$2:$J$9,0)),1,INDEX($N$2:$N$9,MATCH($B22&amp;$C22,$J$2:$J$9,0))))</f>
        <v>0.15288572467326916</v>
      </c>
      <c r="F22" s="1165">
        <f ca="1">SUM(OFFSET('Output data (results)'!$B$10,F$15-2000,INDEX($M$2:$M$9,MATCH($B22&amp;$C22,$J$2:$J$9,0)),1,INDEX($N$2:$N$9,MATCH($B22&amp;$C22,$J$2:$J$9,0))))</f>
        <v>0.15478795607566345</v>
      </c>
      <c r="G22" s="1165">
        <f ca="1">SUM(OFFSET('Output data (results)'!$B$10,G$15-2000,INDEX($M$2:$M$9,MATCH($B22&amp;$C22,$J$2:$J$9,0)),1,INDEX($N$2:$N$9,MATCH($B22&amp;$C22,$J$2:$J$9,0))))</f>
        <v>0.15631183333455312</v>
      </c>
      <c r="H22" s="1165">
        <f ca="1">SUM(OFFSET('Output data (results)'!$B$10,H$15-2000,INDEX($M$2:$M$9,MATCH($B22&amp;$C22,$J$2:$J$9,0)),1,INDEX($N$2:$N$9,MATCH($B22&amp;$C22,$J$2:$J$9,0))))</f>
        <v>0.1574408338277522</v>
      </c>
      <c r="I22" s="1165">
        <f ca="1">SUM(OFFSET('Output data (results)'!$B$10,I$15-2000,INDEX($M$2:$M$9,MATCH($B22&amp;$C22,$J$2:$J$9,0)),1,INDEX($N$2:$N$9,MATCH($B22&amp;$C22,$J$2:$J$9,0))))</f>
        <v>0.15815109346628189</v>
      </c>
      <c r="J22" s="561">
        <f ca="1">SUM(OFFSET('Output data (results)'!$B$10,J$15-2000+INDEX($I$2:$I$4,MATCH($B$1,$H$2:$H$4,0)),INDEX($M$2:$M$9,MATCH($B22&amp;$C22,$J$2:$J$9,0)),1,INDEX($N$2:$N$9,MATCH($B22&amp;$C22,$J$2:$J$9,0))))</f>
        <v>0.15406656059479179</v>
      </c>
      <c r="K22" s="561">
        <f ca="1">SUM(OFFSET('Output data (results)'!$B$10,K$15-2000+INDEX($I$2:$I$4,MATCH($B$1,$H$2:$H$4,0)),INDEX($M$2:$M$9,MATCH($B22&amp;$C22,$J$2:$J$9,0)),1,INDEX($N$2:$N$9,MATCH($B22&amp;$C22,$J$2:$J$9,0))))</f>
        <v>0.15006609903745199</v>
      </c>
      <c r="L22" s="561">
        <f ca="1">SUM(OFFSET('Output data (results)'!$B$10,L$15-2000+INDEX($I$2:$I$4,MATCH($B$1,$H$2:$H$4,0)),INDEX($M$2:$M$9,MATCH($B22&amp;$C22,$J$2:$J$9,0)),1,INDEX($N$2:$N$9,MATCH($B22&amp;$C22,$J$2:$J$9,0))))</f>
        <v>0.14614712580012698</v>
      </c>
      <c r="M22" s="561">
        <f ca="1">SUM(OFFSET('Output data (results)'!$B$10,M$15-2000+INDEX($I$2:$I$4,MATCH($B$1,$H$2:$H$4,0)),INDEX($M$2:$M$9,MATCH($B22&amp;$C22,$J$2:$J$9,0)),1,INDEX($N$2:$N$9,MATCH($B22&amp;$C22,$J$2:$J$9,0))))</f>
        <v>0.14238172455186715</v>
      </c>
      <c r="N22" s="561">
        <f ca="1">SUM(OFFSET('Output data (results)'!$B$10,N$15-2000+INDEX($I$2:$I$4,MATCH($B$1,$H$2:$H$4,0)),INDEX($M$2:$M$9,MATCH($B22&amp;$C22,$J$2:$J$9,0)),1,INDEX($N$2:$N$9,MATCH($B22&amp;$C22,$J$2:$J$9,0))))</f>
        <v>0.13872806946040236</v>
      </c>
      <c r="O22" s="561">
        <f ca="1">SUM(OFFSET('Output data (results)'!$B$10,O$15-2000+INDEX($I$2:$I$4,MATCH($B$1,$H$2:$H$4,0)),INDEX($M$2:$M$9,MATCH($B22&amp;$C22,$J$2:$J$9,0)),1,INDEX($N$2:$N$9,MATCH($B22&amp;$C22,$J$2:$J$9,0))))</f>
        <v>0.1351818531642576</v>
      </c>
      <c r="P22" s="561">
        <f ca="1">SUM(OFFSET('Output data (results)'!$B$10,P$15-2000+INDEX($I$2:$I$4,MATCH($B$1,$H$2:$H$4,0)),INDEX($M$2:$M$9,MATCH($B22&amp;$C22,$J$2:$J$9,0)),1,INDEX($N$2:$N$9,MATCH($B22&amp;$C22,$J$2:$J$9,0))))</f>
        <v>0.13173978678302622</v>
      </c>
      <c r="Q22" s="561">
        <f ca="1">SUM(OFFSET('Output data (results)'!$B$10,Q$15-2000+INDEX($I$2:$I$4,MATCH($B$1,$H$2:$H$4,0)),INDEX($M$2:$M$9,MATCH($B22&amp;$C22,$J$2:$J$9,0)),1,INDEX($N$2:$N$9,MATCH($B22&amp;$C22,$J$2:$J$9,0))))</f>
        <v>0.12839844493318359</v>
      </c>
      <c r="R22" s="561">
        <f ca="1">SUM(OFFSET('Output data (results)'!$B$10,R$15-2000+INDEX($I$2:$I$4,MATCH($B$1,$H$2:$H$4,0)),INDEX($M$2:$M$9,MATCH($B22&amp;$C22,$J$2:$J$9,0)),1,INDEX($N$2:$N$9,MATCH($B22&amp;$C22,$J$2:$J$9,0))))</f>
        <v>0.12521231275465469</v>
      </c>
      <c r="S22" s="561">
        <f ca="1">SUM(OFFSET('Output data (results)'!$B$10,S$15-2000+INDEX($I$2:$I$4,MATCH($B$1,$H$2:$H$4,0)),INDEX($M$2:$M$9,MATCH($B22&amp;$C22,$J$2:$J$9,0)),1,INDEX($N$2:$N$9,MATCH($B22&amp;$C22,$J$2:$J$9,0))))</f>
        <v>0.12213154334262161</v>
      </c>
      <c r="T22" s="561">
        <f ca="1">SUM(OFFSET('Output data (results)'!$B$10,T$15-2000+INDEX($I$2:$I$4,MATCH($B$1,$H$2:$H$4,0)),INDEX($M$2:$M$9,MATCH($B22&amp;$C22,$J$2:$J$9,0)),1,INDEX($N$2:$N$9,MATCH($B22&amp;$C22,$J$2:$J$9,0))))</f>
        <v>0.11543464037983509</v>
      </c>
      <c r="U22" s="561">
        <f ca="1">SUM(OFFSET('Output data (results)'!$B$10,U$15-2000+INDEX($I$2:$I$4,MATCH($B$1,$H$2:$H$4,0)),INDEX($M$2:$M$9,MATCH($B22&amp;$C22,$J$2:$J$9,0)),1,INDEX($N$2:$N$9,MATCH($B22&amp;$C22,$J$2:$J$9,0))))</f>
        <v>0.10910882085372027</v>
      </c>
      <c r="V22" s="561">
        <f ca="1">SUM(OFFSET('Output data (results)'!$B$10,V$15-2000+INDEX($I$2:$I$4,MATCH($B$1,$H$2:$H$4,0)),INDEX($M$2:$M$9,MATCH($B22&amp;$C22,$J$2:$J$9,0)),1,INDEX($N$2:$N$9,MATCH($B22&amp;$C22,$J$2:$J$9,0))))</f>
        <v>0.10313378031028674</v>
      </c>
      <c r="W22" s="561">
        <f ca="1">SUM(OFFSET('Output data (results)'!$B$10,W$15-2000+INDEX($I$2:$I$4,MATCH($B$1,$H$2:$H$4,0)),INDEX($M$2:$M$9,MATCH($B22&amp;$C22,$J$2:$J$9,0)),1,INDEX($N$2:$N$9,MATCH($B22&amp;$C22,$J$2:$J$9,0))))</f>
        <v>9.7998453527910451E-2</v>
      </c>
      <c r="X22" s="561">
        <f ca="1">SUM(OFFSET('Output data (results)'!$B$10,X$15-2000+INDEX($I$2:$I$4,MATCH($B$1,$H$2:$H$4,0)),INDEX($M$2:$M$9,MATCH($B22&amp;$C22,$J$2:$J$9,0)),1,INDEX($N$2:$N$9,MATCH($B22&amp;$C22,$J$2:$J$9,0))))</f>
        <v>9.2891372709654974E-2</v>
      </c>
      <c r="Y22" s="561">
        <f ca="1">SUM(OFFSET('Output data (results)'!$B$10,Y$15-2000+INDEX($I$2:$I$4,MATCH($B$1,$H$2:$H$4,0)),INDEX($M$2:$M$9,MATCH($B22&amp;$C22,$J$2:$J$9,0)),1,INDEX($N$2:$N$9,MATCH($B22&amp;$C22,$J$2:$J$9,0))))</f>
        <v>8.781239026789231E-2</v>
      </c>
      <c r="Z22" s="561">
        <f ca="1">SUM(OFFSET('Output data (results)'!$B$10,Z$15-2000+INDEX($I$2:$I$4,MATCH($B$1,$H$2:$H$4,0)),INDEX($M$2:$M$9,MATCH($B22&amp;$C22,$J$2:$J$9,0)),1,INDEX($N$2:$N$9,MATCH($B22&amp;$C22,$J$2:$J$9,0))))</f>
        <v>8.2760190828617519E-2</v>
      </c>
      <c r="AA22" s="561">
        <f ca="1">SUM(OFFSET('Output data (results)'!$B$10,AA$15-2000+INDEX($I$2:$I$4,MATCH($B$1,$H$2:$H$4,0)),INDEX($M$2:$M$9,MATCH($B22&amp;$C22,$J$2:$J$9,0)),1,INDEX($N$2:$N$9,MATCH($B22&amp;$C22,$J$2:$J$9,0))))</f>
        <v>7.7734996444407151E-2</v>
      </c>
      <c r="AB22" s="561">
        <f ca="1">SUM(OFFSET('Output data (results)'!$B$10,AB$15-2000+INDEX($I$2:$I$4,MATCH($B$1,$H$2:$H$4,0)),INDEX($M$2:$M$9,MATCH($B22&amp;$C22,$J$2:$J$9,0)),1,INDEX($N$2:$N$9,MATCH($B22&amp;$C22,$J$2:$J$9,0))))</f>
        <v>7.2760732185247007E-2</v>
      </c>
      <c r="AC22" s="561">
        <f ca="1">SUM(OFFSET('Output data (results)'!$B$10,AC$15-2000+INDEX($I$2:$I$4,MATCH($B$1,$H$2:$H$4,0)),INDEX($M$2:$M$9,MATCH($B22&amp;$C22,$J$2:$J$9,0)),1,INDEX($N$2:$N$9,MATCH($B22&amp;$C22,$J$2:$J$9,0))))</f>
        <v>7.0995336909795537E-2</v>
      </c>
      <c r="AD22" s="561">
        <f ca="1">SUM(OFFSET('Output data (results)'!$B$10,AD$15-2000+INDEX($I$2:$I$4,MATCH($B$1,$H$2:$H$4,0)),INDEX($M$2:$M$9,MATCH($B22&amp;$C22,$J$2:$J$9,0)),1,INDEX($N$2:$N$9,MATCH($B22&amp;$C22,$J$2:$J$9,0))))</f>
        <v>6.7813192499952588E-2</v>
      </c>
      <c r="AE22" s="561">
        <f ca="1">SUM(OFFSET('Output data (results)'!$B$10,AE$15-2000+INDEX($I$2:$I$4,MATCH($B$1,$H$2:$H$4,0)),INDEX($M$2:$M$9,MATCH($B22&amp;$C22,$J$2:$J$9,0)),1,INDEX($N$2:$N$9,MATCH($B22&amp;$C22,$J$2:$J$9,0))))</f>
        <v>6.4645240058025008E-2</v>
      </c>
      <c r="AF22" s="561">
        <f ca="1">SUM(OFFSET('Output data (results)'!$B$10,AF$15-2000+INDEX($I$2:$I$4,MATCH($B$1,$H$2:$H$4,0)),INDEX($M$2:$M$9,MATCH($B22&amp;$C22,$J$2:$J$9,0)),1,INDEX($N$2:$N$9,MATCH($B22&amp;$C22,$J$2:$J$9,0))))</f>
        <v>6.1491215865504718E-2</v>
      </c>
      <c r="AG22" s="561">
        <f ca="1">SUM(OFFSET('Output data (results)'!$B$10,AG$15-2000+INDEX($I$2:$I$4,MATCH($B$1,$H$2:$H$4,0)),INDEX($M$2:$M$9,MATCH($B22&amp;$C22,$J$2:$J$9,0)),1,INDEX($N$2:$N$9,MATCH($B22&amp;$C22,$J$2:$J$9,0))))</f>
        <v>5.8367899262745576E-2</v>
      </c>
      <c r="AH22" s="561">
        <f ca="1">SUM(OFFSET('Output data (results)'!$B$10,AH$15-2000+INDEX($I$2:$I$4,MATCH($B$1,$H$2:$H$4,0)),INDEX($M$2:$M$9,MATCH($B22&amp;$C22,$J$2:$J$9,0)),1,INDEX($N$2:$N$9,MATCH($B22&amp;$C22,$J$2:$J$9,0))))</f>
        <v>5.5255894797337793E-2</v>
      </c>
      <c r="AI22" s="561">
        <f ca="1">SUM(OFFSET('Output data (results)'!$B$10,AI$15-2000+INDEX($I$2:$I$4,MATCH($B$1,$H$2:$H$4,0)),INDEX($M$2:$M$9,MATCH($B22&amp;$C22,$J$2:$J$9,0)),1,INDEX($N$2:$N$9,MATCH($B22&amp;$C22,$J$2:$J$9,0))))</f>
        <v>5.2154823369821926E-2</v>
      </c>
      <c r="AJ22" s="561">
        <f ca="1">SUM(OFFSET('Output data (results)'!$B$10,AJ$15-2000+INDEX($I$2:$I$4,MATCH($B$1,$H$2:$H$4,0)),INDEX($M$2:$M$9,MATCH($B22&amp;$C22,$J$2:$J$9,0)),1,INDEX($N$2:$N$9,MATCH($B22&amp;$C22,$J$2:$J$9,0))))</f>
        <v>4.90647221926611E-2</v>
      </c>
      <c r="AK22" s="561">
        <f ca="1">SUM(OFFSET('Output data (results)'!$B$10,AK$15-2000+INDEX($I$2:$I$4,MATCH($B$1,$H$2:$H$4,0)),INDEX($M$2:$M$9,MATCH($B22&amp;$C22,$J$2:$J$9,0)),1,INDEX($N$2:$N$9,MATCH($B22&amp;$C22,$J$2:$J$9,0))))</f>
        <v>4.5985080271185648E-2</v>
      </c>
      <c r="AL22" s="561">
        <f ca="1">SUM(OFFSET('Output data (results)'!$B$10,AL$15-2000+INDEX($I$2:$I$4,MATCH($B$1,$H$2:$H$4,0)),INDEX($M$2:$M$9,MATCH($B22&amp;$C22,$J$2:$J$9,0)),1,INDEX($N$2:$N$9,MATCH($B22&amp;$C22,$J$2:$J$9,0))))</f>
        <v>4.2928573720030741E-2</v>
      </c>
      <c r="AM22" s="561">
        <f ca="1">SUM(OFFSET('Output data (results)'!$B$10,AM$15-2000+INDEX($I$2:$I$4,MATCH($B$1,$H$2:$H$4,0)),INDEX($M$2:$M$9,MATCH($B22&amp;$C22,$J$2:$J$9,0)),1,INDEX($N$2:$N$9,MATCH($B22&amp;$C22,$J$2:$J$9,0))))</f>
        <v>3.9880347841534033E-2</v>
      </c>
      <c r="AN22" s="561">
        <f ca="1">SUM(OFFSET('Output data (results)'!$B$10,AN$15-2000+INDEX($I$2:$I$4,MATCH($B$1,$H$2:$H$4,0)),INDEX($M$2:$M$9,MATCH($B22&amp;$C22,$J$2:$J$9,0)),1,INDEX($N$2:$N$9,MATCH($B22&amp;$C22,$J$2:$J$9,0))))</f>
        <v>3.9827540171406231E-2</v>
      </c>
      <c r="AO22" s="561">
        <f ca="1">SUM(OFFSET('Output data (results)'!$B$10,AO$15-2000+INDEX($I$2:$I$4,MATCH($B$1,$H$2:$H$4,0)),INDEX($M$2:$M$9,MATCH($B22&amp;$C22,$J$2:$J$9,0)),1,INDEX($N$2:$N$9,MATCH($B22&amp;$C22,$J$2:$J$9,0))))</f>
        <v>3.9775267902497149E-2</v>
      </c>
      <c r="AP22" s="561">
        <f ca="1">SUM(OFFSET('Output data (results)'!$B$10,AP$15-2000+INDEX($I$2:$I$4,MATCH($B$1,$H$2:$H$4,0)),INDEX($M$2:$M$9,MATCH($B22&amp;$C22,$J$2:$J$9,0)),1,INDEX($N$2:$N$9,MATCH($B22&amp;$C22,$J$2:$J$9,0))))</f>
        <v>3.9723254282212989E-2</v>
      </c>
    </row>
    <row r="23" spans="1:42">
      <c r="A23" s="10" t="s">
        <v>675</v>
      </c>
      <c r="B23" t="s">
        <v>680</v>
      </c>
      <c r="C23" t="s">
        <v>191</v>
      </c>
      <c r="D23" s="1165">
        <f ca="1">SUM(OFFSET('Output data (results)'!$B$10,D$15-2000,INDEX($M$2:$M$9,MATCH($B23&amp;$C23,$J$2:$J$9,0)),1,INDEX($N$2:$N$9,MATCH($B23&amp;$C23,$J$2:$J$9,0))))</f>
        <v>2.6382989586250001</v>
      </c>
      <c r="E23" s="1165">
        <f ca="1">SUM(OFFSET('Output data (results)'!$B$10,E$15-2000,INDEX($M$2:$M$9,MATCH($B23&amp;$C23,$J$2:$J$9,0)),1,INDEX($N$2:$N$9,MATCH($B23&amp;$C23,$J$2:$J$9,0))))</f>
        <v>2.6775772173687913</v>
      </c>
      <c r="F23" s="1165">
        <f ca="1">SUM(OFFSET('Output data (results)'!$B$10,F$15-2000,INDEX($M$2:$M$9,MATCH($B23&amp;$C23,$J$2:$J$9,0)),1,INDEX($N$2:$N$9,MATCH($B23&amp;$C23,$J$2:$J$9,0))))</f>
        <v>2.7183176962712094</v>
      </c>
      <c r="G23" s="1165">
        <f ca="1">SUM(OFFSET('Output data (results)'!$B$10,G$15-2000,INDEX($M$2:$M$9,MATCH($B23&amp;$C23,$J$2:$J$9,0)),1,INDEX($N$2:$N$9,MATCH($B23&amp;$C23,$J$2:$J$9,0))))</f>
        <v>2.7605708167170335</v>
      </c>
      <c r="H23" s="1165">
        <f ca="1">SUM(OFFSET('Output data (results)'!$B$10,H$15-2000,INDEX($M$2:$M$9,MATCH($B23&amp;$C23,$J$2:$J$9,0)),1,INDEX($N$2:$N$9,MATCH($B23&amp;$C23,$J$2:$J$9,0))))</f>
        <v>2.8044374214758245</v>
      </c>
      <c r="I23" s="1165">
        <f ca="1">SUM(OFFSET('Output data (results)'!$B$10,I$15-2000,INDEX($M$2:$M$9,MATCH($B23&amp;$C23,$J$2:$J$9,0)),1,INDEX($N$2:$N$9,MATCH($B23&amp;$C23,$J$2:$J$9,0))))</f>
        <v>2.8499175105475834</v>
      </c>
      <c r="J23" s="561">
        <f ca="1">SUM(OFFSET('Output data (results)'!$B$10,J$15-2000+INDEX($I$2:$I$4,MATCH($B$1,$H$2:$H$4,0)),INDEX($M$2:$M$9,MATCH($B23&amp;$C23,$J$2:$J$9,0)),1,INDEX($N$2:$N$9,MATCH($B23&amp;$C23,$J$2:$J$9,0))))</f>
        <v>2.8960026562367029</v>
      </c>
      <c r="K23" s="561">
        <f ca="1">SUM(OFFSET('Output data (results)'!$B$10,K$15-2000+INDEX($I$2:$I$4,MATCH($B$1,$H$2:$H$4,0)),INDEX($M$2:$M$9,MATCH($B23&amp;$C23,$J$2:$J$9,0)),1,INDEX($N$2:$N$9,MATCH($B23&amp;$C23,$J$2:$J$9,0))))</f>
        <v>2.9428441226975277</v>
      </c>
      <c r="L23" s="561">
        <f ca="1">SUM(OFFSET('Output data (results)'!$B$10,L$15-2000+INDEX($I$2:$I$4,MATCH($B$1,$H$2:$H$4,0)),INDEX($M$2:$M$9,MATCH($B23&amp;$C23,$J$2:$J$9,0)),1,INDEX($N$2:$N$9,MATCH($B23&amp;$C23,$J$2:$J$9,0))))</f>
        <v>2.9904419099300554</v>
      </c>
      <c r="M23" s="561">
        <f ca="1">SUM(OFFSET('Output data (results)'!$B$10,M$15-2000+INDEX($I$2:$I$4,MATCH($B$1,$H$2:$H$4,0)),INDEX($M$2:$M$9,MATCH($B23&amp;$C23,$J$2:$J$9,0)),1,INDEX($N$2:$N$9,MATCH($B23&amp;$C23,$J$2:$J$9,0))))</f>
        <v>3.024879715734945</v>
      </c>
      <c r="N23" s="561">
        <f ca="1">SUM(OFFSET('Output data (results)'!$B$10,N$15-2000+INDEX($I$2:$I$4,MATCH($B$1,$H$2:$H$4,0)),INDEX($M$2:$M$9,MATCH($B23&amp;$C23,$J$2:$J$9,0)),1,INDEX($N$2:$N$9,MATCH($B23&amp;$C23,$J$2:$J$9,0))))</f>
        <v>3.0596704712332969</v>
      </c>
      <c r="O23" s="561">
        <f ca="1">SUM(OFFSET('Output data (results)'!$B$10,O$15-2000+INDEX($I$2:$I$4,MATCH($B$1,$H$2:$H$4,0)),INDEX($M$2:$M$9,MATCH($B23&amp;$C23,$J$2:$J$9,0)),1,INDEX($N$2:$N$9,MATCH($B23&amp;$C23,$J$2:$J$9,0))))</f>
        <v>3.0949150191946715</v>
      </c>
      <c r="P23" s="561">
        <f ca="1">SUM(OFFSET('Output data (results)'!$B$10,P$15-2000+INDEX($I$2:$I$4,MATCH($B$1,$H$2:$H$4,0)),INDEX($M$2:$M$9,MATCH($B23&amp;$C23,$J$2:$J$9,0)),1,INDEX($N$2:$N$9,MATCH($B23&amp;$C23,$J$2:$J$9,0))))</f>
        <v>3.1305629382342866</v>
      </c>
      <c r="Q23" s="561">
        <f ca="1">SUM(OFFSET('Output data (results)'!$B$10,Q$15-2000+INDEX($I$2:$I$4,MATCH($B$1,$H$2:$H$4,0)),INDEX($M$2:$M$9,MATCH($B23&amp;$C23,$J$2:$J$9,0)),1,INDEX($N$2:$N$9,MATCH($B23&amp;$C23,$J$2:$J$9,0))))</f>
        <v>3.166614228352143</v>
      </c>
      <c r="R23" s="561">
        <f ca="1">SUM(OFFSET('Output data (results)'!$B$10,R$15-2000+INDEX($I$2:$I$4,MATCH($B$1,$H$2:$H$4,0)),INDEX($M$2:$M$9,MATCH($B23&amp;$C23,$J$2:$J$9,0)),1,INDEX($N$2:$N$9,MATCH($B23&amp;$C23,$J$2:$J$9,0))))</f>
        <v>3.1977746441463193</v>
      </c>
      <c r="S23" s="561">
        <f ca="1">SUM(OFFSET('Output data (results)'!$B$10,S$15-2000+INDEX($I$2:$I$4,MATCH($B$1,$H$2:$H$4,0)),INDEX($M$2:$M$9,MATCH($B23&amp;$C23,$J$2:$J$9,0)),1,INDEX($N$2:$N$9,MATCH($B23&amp;$C23,$J$2:$J$9,0))))</f>
        <v>3.2292880096339567</v>
      </c>
      <c r="T23" s="561">
        <f ca="1">SUM(OFFSET('Output data (results)'!$B$10,T$15-2000+INDEX($I$2:$I$4,MATCH($B$1,$H$2:$H$4,0)),INDEX($M$2:$M$9,MATCH($B23&amp;$C23,$J$2:$J$9,0)),1,INDEX($N$2:$N$9,MATCH($B23&amp;$C23,$J$2:$J$9,0))))</f>
        <v>3.2610534820454951</v>
      </c>
      <c r="U23" s="561">
        <f ca="1">SUM(OFFSET('Output data (results)'!$B$10,U$15-2000+INDEX($I$2:$I$4,MATCH($B$1,$H$2:$H$4,0)),INDEX($M$2:$M$9,MATCH($B23&amp;$C23,$J$2:$J$9,0)),1,INDEX($N$2:$N$9,MATCH($B23&amp;$C23,$J$2:$J$9,0))))</f>
        <v>3.2931719041504954</v>
      </c>
      <c r="V23" s="561">
        <f ca="1">SUM(OFFSET('Output data (results)'!$B$10,V$15-2000+INDEX($I$2:$I$4,MATCH($B$1,$H$2:$H$4,0)),INDEX($M$2:$M$9,MATCH($B23&amp;$C23,$J$2:$J$9,0)),1,INDEX($N$2:$N$9,MATCH($B23&amp;$C23,$J$2:$J$9,0))))</f>
        <v>3.3255928545641762</v>
      </c>
      <c r="W23" s="561">
        <f ca="1">SUM(OFFSET('Output data (results)'!$B$10,W$15-2000+INDEX($I$2:$I$4,MATCH($B$1,$H$2:$H$4,0)),INDEX($M$2:$M$9,MATCH($B23&amp;$C23,$J$2:$J$9,0)),1,INDEX($N$2:$N$9,MATCH($B23&amp;$C23,$J$2:$J$9,0))))</f>
        <v>3.3539800941954407</v>
      </c>
      <c r="X23" s="561">
        <f ca="1">SUM(OFFSET('Output data (results)'!$B$10,X$15-2000+INDEX($I$2:$I$4,MATCH($B$1,$H$2:$H$4,0)),INDEX($M$2:$M$9,MATCH($B23&amp;$C23,$J$2:$J$9,0)),1,INDEX($N$2:$N$9,MATCH($B23&amp;$C23,$J$2:$J$9,0))))</f>
        <v>3.3826194407506049</v>
      </c>
      <c r="Y23" s="561">
        <f ca="1">SUM(OFFSET('Output data (results)'!$B$10,Y$15-2000+INDEX($I$2:$I$4,MATCH($B$1,$H$2:$H$4,0)),INDEX($M$2:$M$9,MATCH($B23&amp;$C23,$J$2:$J$9,0)),1,INDEX($N$2:$N$9,MATCH($B23&amp;$C23,$J$2:$J$9,0))))</f>
        <v>3.4114604728448907</v>
      </c>
      <c r="Z23" s="561">
        <f ca="1">SUM(OFFSET('Output data (results)'!$B$10,Z$15-2000+INDEX($I$2:$I$4,MATCH($B$1,$H$2:$H$4,0)),INDEX($M$2:$M$9,MATCH($B23&amp;$C23,$J$2:$J$9,0)),1,INDEX($N$2:$N$9,MATCH($B23&amp;$C23,$J$2:$J$9,0))))</f>
        <v>3.4406040332478574</v>
      </c>
      <c r="AA23" s="561">
        <f ca="1">SUM(OFFSET('Output data (results)'!$B$10,AA$15-2000+INDEX($I$2:$I$4,MATCH($B$1,$H$2:$H$4,0)),INDEX($M$2:$M$9,MATCH($B23&amp;$C23,$J$2:$J$9,0)),1,INDEX($N$2:$N$9,MATCH($B23&amp;$C23,$J$2:$J$9,0))))</f>
        <v>3.4699492791899456</v>
      </c>
      <c r="AB23" s="561">
        <f ca="1">SUM(OFFSET('Output data (results)'!$B$10,AB$15-2000+INDEX($I$2:$I$4,MATCH($B$1,$H$2:$H$4,0)),INDEX($M$2:$M$9,MATCH($B23&amp;$C23,$J$2:$J$9,0)),1,INDEX($N$2:$N$9,MATCH($B23&amp;$C23,$J$2:$J$9,0))))</f>
        <v>3.4953616571191763</v>
      </c>
      <c r="AC23" s="561">
        <f ca="1">SUM(OFFSET('Output data (results)'!$B$10,AC$15-2000+INDEX($I$2:$I$4,MATCH($B$1,$H$2:$H$4,0)),INDEX($M$2:$M$9,MATCH($B23&amp;$C23,$J$2:$J$9,0)),1,INDEX($N$2:$N$9,MATCH($B23&amp;$C23,$J$2:$J$9,0))))</f>
        <v>3.5209252992027475</v>
      </c>
      <c r="AD23" s="561">
        <f ca="1">SUM(OFFSET('Output data (results)'!$B$10,AD$15-2000+INDEX($I$2:$I$4,MATCH($B$1,$H$2:$H$4,0)),INDEX($M$2:$M$9,MATCH($B23&amp;$C23,$J$2:$J$9,0)),1,INDEX($N$2:$N$9,MATCH($B23&amp;$C23,$J$2:$J$9,0))))</f>
        <v>3.5467410482102202</v>
      </c>
      <c r="AE23" s="561">
        <f ca="1">SUM(OFFSET('Output data (results)'!$B$10,AE$15-2000+INDEX($I$2:$I$4,MATCH($B$1,$H$2:$H$4,0)),INDEX($M$2:$M$9,MATCH($B23&amp;$C23,$J$2:$J$9,0)),1,INDEX($N$2:$N$9,MATCH($B23&amp;$C23,$J$2:$J$9,0))))</f>
        <v>3.5727080613720332</v>
      </c>
      <c r="AF23" s="561">
        <f ca="1">SUM(OFFSET('Output data (results)'!$B$10,AF$15-2000+INDEX($I$2:$I$4,MATCH($B$1,$H$2:$H$4,0)),INDEX($M$2:$M$9,MATCH($B23&amp;$C23,$J$2:$J$9,0)),1,INDEX($N$2:$N$9,MATCH($B23&amp;$C23,$J$2:$J$9,0))))</f>
        <v>3.5988263386881876</v>
      </c>
      <c r="AG23" s="561">
        <f ca="1">SUM(OFFSET('Output data (results)'!$B$10,AG$15-2000+INDEX($I$2:$I$4,MATCH($B$1,$H$2:$H$4,0)),INDEX($M$2:$M$9,MATCH($B23&amp;$C23,$J$2:$J$9,0)),1,INDEX($N$2:$N$9,MATCH($B23&amp;$C23,$J$2:$J$9,0))))</f>
        <v>3.6212134335306052</v>
      </c>
      <c r="AH23" s="561">
        <f ca="1">SUM(OFFSET('Output data (results)'!$B$10,AH$15-2000+INDEX($I$2:$I$4,MATCH($B$1,$H$2:$H$4,0)),INDEX($M$2:$M$9,MATCH($B23&amp;$C23,$J$2:$J$9,0)),1,INDEX($N$2:$N$9,MATCH($B23&amp;$C23,$J$2:$J$9,0))))</f>
        <v>3.643701371142583</v>
      </c>
      <c r="AI23" s="561">
        <f ca="1">SUM(OFFSET('Output data (results)'!$B$10,AI$15-2000+INDEX($I$2:$I$4,MATCH($B$1,$H$2:$H$4,0)),INDEX($M$2:$M$9,MATCH($B23&amp;$C23,$J$2:$J$9,0)),1,INDEX($N$2:$N$9,MATCH($B23&amp;$C23,$J$2:$J$9,0))))</f>
        <v>3.6663405729089016</v>
      </c>
      <c r="AJ23" s="561">
        <f ca="1">SUM(OFFSET('Output data (results)'!$B$10,AJ$15-2000+INDEX($I$2:$I$4,MATCH($B$1,$H$2:$H$4,0)),INDEX($M$2:$M$9,MATCH($B23&amp;$C23,$J$2:$J$9,0)),1,INDEX($N$2:$N$9,MATCH($B23&amp;$C23,$J$2:$J$9,0))))</f>
        <v>3.6890806174447812</v>
      </c>
      <c r="AK23" s="561">
        <f ca="1">SUM(OFFSET('Output data (results)'!$B$10,AK$15-2000+INDEX($I$2:$I$4,MATCH($B$1,$H$2:$H$4,0)),INDEX($M$2:$M$9,MATCH($B23&amp;$C23,$J$2:$J$9,0)),1,INDEX($N$2:$N$9,MATCH($B23&amp;$C23,$J$2:$J$9,0))))</f>
        <v>3.7120223475197802</v>
      </c>
      <c r="AL23" s="561">
        <f ca="1">SUM(OFFSET('Output data (results)'!$B$10,AL$15-2000+INDEX($I$2:$I$4,MATCH($B$1,$H$2:$H$4,0)),INDEX($M$2:$M$9,MATCH($B23&amp;$C23,$J$2:$J$9,0)),1,INDEX($N$2:$N$9,MATCH($B23&amp;$C23,$J$2:$J$9,0))))</f>
        <v>3.7309303668123635</v>
      </c>
      <c r="AM23" s="561">
        <f ca="1">SUM(OFFSET('Output data (results)'!$B$10,AM$15-2000+INDEX($I$2:$I$4,MATCH($B$1,$H$2:$H$4,0)),INDEX($M$2:$M$9,MATCH($B23&amp;$C23,$J$2:$J$9,0)),1,INDEX($N$2:$N$9,MATCH($B23&amp;$C23,$J$2:$J$9,0))))</f>
        <v>3.7499896502592862</v>
      </c>
      <c r="AN23" s="561">
        <f ca="1">SUM(OFFSET('Output data (results)'!$B$10,AN$15-2000+INDEX($I$2:$I$4,MATCH($B$1,$H$2:$H$4,0)),INDEX($M$2:$M$9,MATCH($B23&amp;$C23,$J$2:$J$9,0)),1,INDEX($N$2:$N$9,MATCH($B23&amp;$C23,$J$2:$J$9,0))))</f>
        <v>3.76914977647577</v>
      </c>
      <c r="AO23" s="561">
        <f ca="1">SUM(OFFSET('Output data (results)'!$B$10,AO$15-2000+INDEX($I$2:$I$4,MATCH($B$1,$H$2:$H$4,0)),INDEX($M$2:$M$9,MATCH($B23&amp;$C23,$J$2:$J$9,0)),1,INDEX($N$2:$N$9,MATCH($B23&amp;$C23,$J$2:$J$9,0))))</f>
        <v>3.7883603240770336</v>
      </c>
      <c r="AP23" s="561">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8671875" defaultRowHeight="15.6"/>
  <cols>
    <col min="1" max="1" width="32.6640625" style="183" customWidth="1"/>
    <col min="2" max="2" width="31" style="183" customWidth="1"/>
    <col min="3" max="3" width="71.21875" style="183" bestFit="1" customWidth="1"/>
    <col min="4" max="4" width="70.5546875" style="183" bestFit="1" customWidth="1"/>
    <col min="5" max="5" width="21.6640625" style="183" customWidth="1"/>
    <col min="6" max="6" width="24.44140625" style="183" customWidth="1"/>
    <col min="7" max="7" width="21.88671875" style="183" customWidth="1"/>
    <col min="8" max="8" width="20" style="183" customWidth="1"/>
    <col min="9" max="9" width="17.6640625" style="183" customWidth="1"/>
    <col min="10" max="10" width="16.88671875" style="183" customWidth="1"/>
    <col min="11" max="12" width="13.44140625" style="183" bestFit="1" customWidth="1"/>
    <col min="13" max="13" width="13.109375" style="183" customWidth="1"/>
    <col min="14" max="14" width="14.6640625" style="183" bestFit="1" customWidth="1"/>
    <col min="15" max="15" width="11.6640625" style="183" customWidth="1"/>
    <col min="16" max="16" width="11.33203125" style="183" customWidth="1"/>
    <col min="17" max="17" width="12.6640625" customWidth="1"/>
    <col min="18" max="18" width="11" customWidth="1"/>
    <col min="19" max="20" width="9.109375" customWidth="1"/>
    <col min="21" max="16384" width="8.88671875" style="183"/>
  </cols>
  <sheetData>
    <row r="1" spans="1:14" ht="16.2" thickBot="1">
      <c r="A1" s="182" t="s">
        <v>231</v>
      </c>
    </row>
    <row r="2" spans="1:14">
      <c r="A2" s="455"/>
      <c r="B2" s="456" t="s">
        <v>2</v>
      </c>
      <c r="C2" s="456" t="s">
        <v>4</v>
      </c>
      <c r="D2" s="457" t="s">
        <v>468</v>
      </c>
    </row>
    <row r="3" spans="1:14" ht="31.2">
      <c r="A3" s="189" t="s">
        <v>488</v>
      </c>
      <c r="B3" s="412" t="s">
        <v>227</v>
      </c>
      <c r="C3" s="406">
        <v>578.73</v>
      </c>
      <c r="D3" s="196" t="s">
        <v>487</v>
      </c>
    </row>
    <row r="4" spans="1:14" ht="31.2">
      <c r="A4" s="189" t="s">
        <v>486</v>
      </c>
      <c r="B4" s="412" t="s">
        <v>227</v>
      </c>
      <c r="C4" s="406">
        <f>'Waste Summary 2017 SASOW'!P6</f>
        <v>424.26313389388866</v>
      </c>
      <c r="D4" s="196" t="s">
        <v>469</v>
      </c>
    </row>
    <row r="5" spans="1:14">
      <c r="A5" s="189" t="s">
        <v>475</v>
      </c>
      <c r="B5" s="454" t="str">
        <f>'Waste Summary 2017 SASOW'!C34</f>
        <v>ton industrial waste/Rmill GDP</v>
      </c>
      <c r="C5" s="406">
        <f>'Waste Summary 2017 SASOW'!B34</f>
        <v>28.04065142078467</v>
      </c>
      <c r="D5" s="196" t="s">
        <v>470</v>
      </c>
    </row>
    <row r="6" spans="1:14" ht="31.2">
      <c r="A6" s="189" t="s">
        <v>570</v>
      </c>
      <c r="B6" s="454" t="str">
        <f>B5</f>
        <v>ton industrial waste/Rmill GDP</v>
      </c>
      <c r="C6" s="406">
        <f>'Waste Summary 2017 SASOW'!B36</f>
        <v>12.019369527266241</v>
      </c>
      <c r="D6" s="196" t="s">
        <v>470</v>
      </c>
    </row>
    <row r="7" spans="1:14" ht="55.95" customHeight="1">
      <c r="A7" s="189" t="s">
        <v>476</v>
      </c>
      <c r="B7" s="190" t="s">
        <v>3</v>
      </c>
      <c r="C7" s="406">
        <f>37*365/1000</f>
        <v>13.505000000000001</v>
      </c>
      <c r="D7" s="196" t="s">
        <v>471</v>
      </c>
    </row>
    <row r="8" spans="1:14" ht="31.2">
      <c r="A8" s="189" t="s">
        <v>295</v>
      </c>
      <c r="B8" s="190" t="s">
        <v>52</v>
      </c>
      <c r="C8" s="406">
        <v>29.169396153846154</v>
      </c>
      <c r="D8" s="196" t="s">
        <v>474</v>
      </c>
    </row>
    <row r="9" spans="1:14" ht="48" customHeight="1" thickBot="1">
      <c r="A9" s="191" t="s">
        <v>502</v>
      </c>
      <c r="B9" s="192" t="s">
        <v>3</v>
      </c>
      <c r="C9" s="1131">
        <f>H117*10^6/(G117*B117*10^6)</f>
        <v>30.607062306546265</v>
      </c>
      <c r="D9" s="197" t="s">
        <v>534</v>
      </c>
    </row>
    <row r="10" spans="1:14">
      <c r="A10" s="327"/>
      <c r="B10" s="328"/>
      <c r="C10" s="329"/>
      <c r="D10" s="330"/>
    </row>
    <row r="11" spans="1:14" ht="16.2" thickBot="1">
      <c r="A11" s="476" t="s">
        <v>533</v>
      </c>
      <c r="B11" s="318"/>
      <c r="C11"/>
      <c r="D11" s="3"/>
      <c r="E11" s="3"/>
      <c r="F11" s="3"/>
      <c r="G11" s="3"/>
      <c r="H11" s="3"/>
      <c r="I11" s="3"/>
      <c r="J11" s="3"/>
      <c r="K11" s="3"/>
      <c r="L11" s="3"/>
      <c r="M11" s="3"/>
      <c r="N11" s="3"/>
    </row>
    <row r="12" spans="1:14" ht="31.2">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2"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2" thickBot="1">
      <c r="A32" s="104"/>
      <c r="B32" s="331"/>
      <c r="C32" s="417"/>
      <c r="D32" s="417"/>
      <c r="E32" s="417"/>
      <c r="F32" s="417"/>
      <c r="G32" s="417"/>
      <c r="H32" s="417"/>
      <c r="I32" s="417"/>
      <c r="J32" s="417"/>
      <c r="K32" s="417"/>
      <c r="L32" s="417"/>
      <c r="M32" s="417"/>
      <c r="N32" s="332"/>
      <c r="O32" s="332"/>
      <c r="P32" s="332"/>
    </row>
    <row r="33" spans="1:29">
      <c r="A33" s="1720"/>
      <c r="B33" s="1717" t="s">
        <v>485</v>
      </c>
      <c r="C33" s="1718"/>
      <c r="D33" s="1718"/>
      <c r="E33" s="1718"/>
      <c r="F33" s="1719"/>
      <c r="G33" s="1717" t="s">
        <v>532</v>
      </c>
      <c r="H33" s="1718"/>
      <c r="I33" s="1719"/>
      <c r="J33" s="417"/>
      <c r="L33" s="417"/>
      <c r="M33" s="417"/>
      <c r="N33" s="332"/>
      <c r="O33" s="332"/>
      <c r="P33" s="332"/>
    </row>
    <row r="34" spans="1:29" ht="16.2" thickBot="1">
      <c r="A34" s="1721"/>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2"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2" thickBot="1">
      <c r="D40" s="184"/>
      <c r="G40" s="184"/>
      <c r="H40" s="435"/>
      <c r="I40" s="184"/>
      <c r="J40" s="184"/>
      <c r="K40" s="184"/>
      <c r="L40" s="433"/>
    </row>
    <row r="41" spans="1:29">
      <c r="A41" s="1722" t="s">
        <v>615</v>
      </c>
      <c r="B41" s="1723"/>
      <c r="C41" s="1724"/>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2" thickBot="1">
      <c r="A44" s="435"/>
      <c r="B44" s="184"/>
      <c r="C44" s="417"/>
      <c r="D44" s="184"/>
      <c r="F44" s="432"/>
      <c r="G44" s="434"/>
      <c r="H44" s="434"/>
      <c r="I44" s="434"/>
      <c r="J44" s="434"/>
      <c r="K44" s="434"/>
      <c r="L44" s="434"/>
      <c r="M44" s="408"/>
    </row>
    <row r="45" spans="1:29">
      <c r="A45" s="435"/>
      <c r="B45" s="184"/>
      <c r="C45" s="417"/>
      <c r="D45" s="184"/>
    </row>
    <row r="46" spans="1:29" ht="16.2" thickBot="1">
      <c r="A46" s="435"/>
      <c r="B46" s="184"/>
      <c r="C46" s="417"/>
      <c r="D46" s="184"/>
    </row>
    <row r="47" spans="1:29" ht="16.2" thickBot="1">
      <c r="A47" s="435"/>
      <c r="B47" s="1714" t="s">
        <v>527</v>
      </c>
      <c r="C47" s="1715"/>
      <c r="D47" s="1715"/>
      <c r="E47" s="1716"/>
      <c r="F47" s="1110" t="s">
        <v>529</v>
      </c>
      <c r="G47" s="1110"/>
      <c r="H47" s="1110"/>
      <c r="I47" s="1704" t="s">
        <v>631</v>
      </c>
      <c r="J47" s="1704"/>
      <c r="K47" s="1704"/>
      <c r="L47" s="1704"/>
      <c r="M47" s="1705"/>
      <c r="N47" s="1703" t="s">
        <v>530</v>
      </c>
      <c r="O47" s="1704"/>
      <c r="P47" s="1704"/>
      <c r="Q47" s="1704"/>
      <c r="R47" s="1704"/>
      <c r="S47" s="1704"/>
      <c r="T47" s="1704"/>
      <c r="U47" s="1704"/>
      <c r="V47" s="1704"/>
      <c r="W47" s="1704"/>
      <c r="X47" s="1704"/>
      <c r="Y47" s="1704"/>
      <c r="Z47" s="1704"/>
      <c r="AA47" s="1704"/>
      <c r="AB47" s="1704"/>
      <c r="AC47" s="1705"/>
    </row>
    <row r="48" spans="1:29" ht="93.6">
      <c r="A48" s="1712"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6" t="s">
        <v>481</v>
      </c>
      <c r="O48" s="1707"/>
      <c r="P48" s="1707"/>
      <c r="Q48" s="1707"/>
      <c r="R48" s="1707"/>
      <c r="S48" s="1707"/>
      <c r="T48" s="1707"/>
      <c r="U48" s="1708"/>
      <c r="V48" s="1709" t="s">
        <v>746</v>
      </c>
      <c r="W48" s="1710"/>
      <c r="X48" s="1710"/>
      <c r="Y48" s="1710"/>
      <c r="Z48" s="1710"/>
      <c r="AA48" s="1710"/>
      <c r="AB48" s="1710"/>
      <c r="AC48" s="1711"/>
    </row>
    <row r="49" spans="1:29" ht="39" customHeight="1" thickBot="1">
      <c r="A49" s="1713"/>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28.04065142078467</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28.04065142078467</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28.04065142078467</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28.04065142078467</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28.04065142078467</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28.04065142078467</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28.04065142078467</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28.04065142078467</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28.04065142078467</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28.04065142078467</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28.04065142078467</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28.04065142078467</v>
      </c>
      <c r="K61" s="1296">
        <f t="shared" si="15"/>
        <v>4427.193176406</v>
      </c>
      <c r="L61" s="1296">
        <f t="shared" si="23"/>
        <v>16813.019776539491</v>
      </c>
      <c r="M61" s="1297">
        <f t="shared" si="16"/>
        <v>16813.019776539491</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28.04065142078467</v>
      </c>
      <c r="K62" s="1296">
        <f t="shared" si="15"/>
        <v>4546.4991761280007</v>
      </c>
      <c r="L62" s="1296">
        <f t="shared" si="23"/>
        <v>17851.708483073329</v>
      </c>
      <c r="M62" s="1297">
        <f t="shared" si="16"/>
        <v>17851.708483073329</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28.04065142078467</v>
      </c>
      <c r="K63" s="1296">
        <f t="shared" si="15"/>
        <v>4665.8051758500005</v>
      </c>
      <c r="L63" s="1296">
        <f t="shared" si="23"/>
        <v>19168.024342122149</v>
      </c>
      <c r="M63" s="1297">
        <f t="shared" si="16"/>
        <v>19168.024342122149</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28.04065142078467</v>
      </c>
      <c r="K64" s="1296">
        <f t="shared" si="15"/>
        <v>4785.1111755720003</v>
      </c>
      <c r="L64" s="1296">
        <f t="shared" si="23"/>
        <v>20689.923625147421</v>
      </c>
      <c r="M64" s="1297">
        <f t="shared" si="16"/>
        <v>20689.923625147421</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28.04065142078467</v>
      </c>
      <c r="K65" s="1296">
        <f t="shared" si="15"/>
        <v>4904.4171752940001</v>
      </c>
      <c r="L65" s="1296">
        <f t="shared" si="23"/>
        <v>21956.718164004171</v>
      </c>
      <c r="M65" s="1297">
        <f t="shared" si="16"/>
        <v>21956.718164004171</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28.04065142078467</v>
      </c>
      <c r="K66" s="1296">
        <f t="shared" si="15"/>
        <v>5058.5238303599999</v>
      </c>
      <c r="L66" s="1296">
        <f t="shared" si="23"/>
        <v>22931.225001439059</v>
      </c>
      <c r="M66" s="1297">
        <f t="shared" si="16"/>
        <v>22931.225001439059</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28.04065142078467</v>
      </c>
      <c r="K67" s="1296">
        <f t="shared" si="15"/>
        <v>5214.2588696016001</v>
      </c>
      <c r="L67" s="1296">
        <f t="shared" si="23"/>
        <v>24581.488022869198</v>
      </c>
      <c r="M67" s="1297">
        <f t="shared" si="16"/>
        <v>24581.488022869198</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28.04065142078467</v>
      </c>
      <c r="K68" s="1296">
        <f t="shared" si="15"/>
        <v>5371.1272473768013</v>
      </c>
      <c r="L68" s="1296">
        <f t="shared" si="23"/>
        <v>25602.466562359092</v>
      </c>
      <c r="M68" s="1297">
        <f t="shared" si="16"/>
        <v>25602.466562359092</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28.04065142078467</v>
      </c>
      <c r="K69" s="1296">
        <f t="shared" si="15"/>
        <v>5529.1289636856</v>
      </c>
      <c r="L69" s="1296">
        <f t="shared" si="23"/>
        <v>26809.835517165811</v>
      </c>
      <c r="M69" s="1297">
        <f t="shared" si="16"/>
        <v>26809.835517165811</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28.04065142078467</v>
      </c>
      <c r="K70" s="1296">
        <f t="shared" si="15"/>
        <v>5688.2640185279997</v>
      </c>
      <c r="L70" s="1296">
        <f t="shared" si="23"/>
        <v>28216.996419591338</v>
      </c>
      <c r="M70" s="1297">
        <f t="shared" si="16"/>
        <v>28216.996419591338</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28.04065142078467</v>
      </c>
      <c r="K71" s="1296">
        <f t="shared" si="15"/>
        <v>11903.214468600001</v>
      </c>
      <c r="L71" s="1296">
        <f t="shared" si="23"/>
        <v>29424.393352337644</v>
      </c>
      <c r="M71" s="1297">
        <f t="shared" si="16"/>
        <v>29424.393352337644</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28.04065142078467</v>
      </c>
      <c r="K72" s="1296">
        <f t="shared" si="15"/>
        <v>12179.1760818</v>
      </c>
      <c r="L72" s="1296">
        <f t="shared" si="23"/>
        <v>29911.297044326649</v>
      </c>
      <c r="M72" s="1297">
        <f t="shared" si="16"/>
        <v>29911.297044326649</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28.04065142078467</v>
      </c>
      <c r="K73" s="1296">
        <f t="shared" si="15"/>
        <v>12458.2975608</v>
      </c>
      <c r="L73" s="1296">
        <f t="shared" si="23"/>
        <v>31278.840890434971</v>
      </c>
      <c r="M73" s="1297">
        <f t="shared" si="16"/>
        <v>31278.840890434971</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28.04065142078467</v>
      </c>
      <c r="K74" s="1296">
        <f t="shared" si="15"/>
        <v>12739.525617000001</v>
      </c>
      <c r="L74" s="1296">
        <f t="shared" si="23"/>
        <v>33190.307892018995</v>
      </c>
      <c r="M74" s="1297">
        <f t="shared" si="16"/>
        <v>33190.307892018995</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28.04065142078467</v>
      </c>
      <c r="K75" s="1296">
        <f t="shared" si="15"/>
        <v>13022.860250400001</v>
      </c>
      <c r="L75" s="1296">
        <f t="shared" si="23"/>
        <v>33753.032362114922</v>
      </c>
      <c r="M75" s="1297">
        <f t="shared" si="16"/>
        <v>33753.032362114922</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28.04065142078467</v>
      </c>
      <c r="K76" s="1296">
        <f t="shared" si="15"/>
        <v>13307.248172400001</v>
      </c>
      <c r="L76" s="1296">
        <f t="shared" si="23"/>
        <v>34512.443205578078</v>
      </c>
      <c r="M76" s="1297">
        <f t="shared" si="16"/>
        <v>34512.443205578078</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28.04065142078467</v>
      </c>
      <c r="K77" s="1296">
        <f t="shared" si="15"/>
        <v>13590.582805800001</v>
      </c>
      <c r="L77" s="1296">
        <f t="shared" si="23"/>
        <v>34479.988555064396</v>
      </c>
      <c r="M77" s="1297">
        <f t="shared" si="16"/>
        <v>34479.988555064396</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28.04065142078467</v>
      </c>
      <c r="K78" s="1296">
        <f t="shared" si="15"/>
        <v>13879.710526499999</v>
      </c>
      <c r="L78" s="1296">
        <f t="shared" si="23"/>
        <v>35519.404693528006</v>
      </c>
      <c r="M78" s="1297">
        <f t="shared" si="16"/>
        <v>35519.404693528006</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28.04065142078467</v>
      </c>
      <c r="K79" s="1296">
        <f t="shared" si="15"/>
        <v>14188.324086299999</v>
      </c>
      <c r="L79" s="1296">
        <f t="shared" si="23"/>
        <v>36865.769082435894</v>
      </c>
      <c r="M79" s="1297">
        <f t="shared" si="16"/>
        <v>36865.769082435894</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28.04065142078467</v>
      </c>
      <c r="K80" s="1296">
        <f t="shared" si="15"/>
        <v>14522.743216800001</v>
      </c>
      <c r="L80" s="1296">
        <f t="shared" si="23"/>
        <v>39306.498690303561</v>
      </c>
      <c r="M80" s="1297">
        <f t="shared" si="16"/>
        <v>39306.498690303561</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28.04065142078467</v>
      </c>
      <c r="K81" s="1296">
        <f t="shared" si="15"/>
        <v>14880.3346965</v>
      </c>
      <c r="L81" s="1296">
        <f t="shared" si="23"/>
        <v>41413.616873693405</v>
      </c>
      <c r="M81" s="1297">
        <f t="shared" si="16"/>
        <v>41413.616873693405</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28.04065142078467</v>
      </c>
      <c r="K82" s="1296">
        <f t="shared" si="15"/>
        <v>15257.938659600002</v>
      </c>
      <c r="L82" s="1296">
        <f t="shared" si="23"/>
        <v>41254.840889490639</v>
      </c>
      <c r="M82" s="1297">
        <f t="shared" si="16"/>
        <v>41254.840889490639</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28.04065142078467</v>
      </c>
      <c r="K83" s="1296">
        <f t="shared" si="15"/>
        <v>15653.9751732</v>
      </c>
      <c r="L83" s="1296">
        <f t="shared" si="23"/>
        <v>40493.051903550608</v>
      </c>
      <c r="M83" s="1297">
        <f t="shared" si="16"/>
        <v>40493.051903550608</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28.04065142078467</v>
      </c>
      <c r="K84" s="1296">
        <f t="shared" si="15"/>
        <v>16065.284371499998</v>
      </c>
      <c r="L84" s="1296">
        <f t="shared" si="23"/>
        <v>42557.839150678592</v>
      </c>
      <c r="M84" s="1297">
        <f t="shared" si="16"/>
        <v>42557.839150678592</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28.04065142078467</v>
      </c>
      <c r="K85" s="1296">
        <f t="shared" si="15"/>
        <v>16488.1797444</v>
      </c>
      <c r="L85" s="1296">
        <f t="shared" si="23"/>
        <v>42042.257858209916</v>
      </c>
      <c r="M85" s="1297">
        <f t="shared" si="16"/>
        <v>42042.257858209916</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28.04065142078467</v>
      </c>
      <c r="K86" s="1296">
        <f t="shared" si="15"/>
        <v>16916.341560300003</v>
      </c>
      <c r="L86" s="1296">
        <f t="shared" si="23"/>
        <v>42049.756001565111</v>
      </c>
      <c r="M86" s="1297">
        <f t="shared" si="16"/>
        <v>42049.756001565111</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28.04065142078467</v>
      </c>
      <c r="K87" s="1296">
        <f t="shared" si="15"/>
        <v>17343.976731900002</v>
      </c>
      <c r="L87" s="1296">
        <f t="shared" si="23"/>
        <v>42933.110036234546</v>
      </c>
      <c r="M87" s="1297">
        <f t="shared" si="16"/>
        <v>42933.110036234546</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28.04065142078467</v>
      </c>
      <c r="K88" s="1296">
        <f t="shared" si="15"/>
        <v>17762.658950400004</v>
      </c>
      <c r="L88" s="1296">
        <f t="shared" si="23"/>
        <v>44736.357565164421</v>
      </c>
      <c r="M88" s="1297">
        <f t="shared" si="16"/>
        <v>44736.357565164421</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28.04065142078467</v>
      </c>
      <c r="K89" s="1296">
        <f t="shared" si="15"/>
        <v>18164.488551300001</v>
      </c>
      <c r="L89" s="1296">
        <f t="shared" si="23"/>
        <v>45807.696769448579</v>
      </c>
      <c r="M89" s="1297">
        <f t="shared" si="16"/>
        <v>45807.696769448579</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28.04065142078467</v>
      </c>
      <c r="K90" s="1296">
        <f t="shared" si="15"/>
        <v>18537.879360000003</v>
      </c>
      <c r="L90" s="1296">
        <f t="shared" si="23"/>
        <v>45662.126470609757</v>
      </c>
      <c r="M90" s="1297">
        <f t="shared" si="16"/>
        <v>45662.126470609757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28.04065142078467</v>
      </c>
      <c r="K91" s="1296">
        <f t="shared" si="15"/>
        <v>18923.909631900002</v>
      </c>
      <c r="L91" s="1296">
        <f t="shared" si="23"/>
        <v>45197.185624451609</v>
      </c>
      <c r="M91" s="1297">
        <f t="shared" si="16"/>
        <v>45197.185624451609</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28.04065142078467</v>
      </c>
      <c r="K92" s="1296">
        <f t="shared" si="15"/>
        <v>19323.106011299998</v>
      </c>
      <c r="L92" s="1296">
        <f t="shared" si="23"/>
        <v>44231.296055430154</v>
      </c>
      <c r="M92" s="1297">
        <f t="shared" si="16"/>
        <v>44231.296055430154</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28.04065142078467</v>
      </c>
      <c r="K93" s="1296">
        <f t="shared" si="15"/>
        <v>19735.468498199996</v>
      </c>
      <c r="L93" s="1296">
        <f t="shared" si="23"/>
        <v>44776.897900051867</v>
      </c>
      <c r="M93" s="1297">
        <f t="shared" si="16"/>
        <v>44776.897900051867</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28.04065142078467</v>
      </c>
      <c r="K94" s="1296">
        <f t="shared" si="15"/>
        <v>20161.523736900002</v>
      </c>
      <c r="L94" s="1296">
        <f t="shared" si="23"/>
        <v>46209.759102563185</v>
      </c>
      <c r="M94" s="1297">
        <f t="shared" si="16"/>
        <v>46209.759102563185</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28.04065142078467</v>
      </c>
      <c r="K95" s="1296">
        <f t="shared" si="15"/>
        <v>20602.325015999999</v>
      </c>
      <c r="L95" s="1296">
        <f t="shared" si="23"/>
        <v>47642.259517411476</v>
      </c>
      <c r="M95" s="1297">
        <f t="shared" si="16"/>
        <v>47642.259517411476</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28.04065142078467</v>
      </c>
      <c r="K96" s="1296">
        <f t="shared" si="15"/>
        <v>21065.772000000001</v>
      </c>
      <c r="L96" s="1296">
        <f t="shared" si="23"/>
        <v>49690.876181657091</v>
      </c>
      <c r="M96" s="1297">
        <f t="shared" si="16"/>
        <v>49690.876181657091</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28.04065142078467</v>
      </c>
      <c r="K97" s="1296">
        <f t="shared" si="15"/>
        <v>21553.444621800001</v>
      </c>
      <c r="L97" s="1296">
        <f t="shared" si="23"/>
        <v>50982.840013839123</v>
      </c>
      <c r="M97" s="1297">
        <f t="shared" si="16"/>
        <v>50982.840013839123</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28.04065142078467</v>
      </c>
      <c r="K98" s="1296">
        <f t="shared" si="15"/>
        <v>22066.39617</v>
      </c>
      <c r="L98" s="1296">
        <f t="shared" si="23"/>
        <v>51237.754675303018</v>
      </c>
      <c r="M98" s="1297">
        <f t="shared" si="16"/>
        <v>51237.754675303018</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5"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28.04065142078467</v>
      </c>
      <c r="K99" s="1296">
        <f t="shared" si="15"/>
        <v>22605.153288900001</v>
      </c>
      <c r="L99" s="1296">
        <f t="shared" si="23"/>
        <v>52467.4588635326</v>
      </c>
      <c r="M99" s="1297">
        <f t="shared" si="16"/>
        <v>52467.4588635326</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28.04065142078467</v>
      </c>
      <c r="K100" s="1677">
        <f t="shared" si="15"/>
        <v>25464.120000000003</v>
      </c>
      <c r="L100" s="1677">
        <f>C100*J100*1000/1000</f>
        <v>54671.093959569844</v>
      </c>
      <c r="M100" s="1678">
        <f t="shared" si="16"/>
        <v>54671.093959569844</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28.04065142078467</v>
      </c>
      <c r="K101" s="1681">
        <f t="shared" si="15"/>
        <v>25990.764299999999</v>
      </c>
      <c r="L101" s="1681">
        <f t="shared" ref="L101:L116" si="39">C101*J101*1000/1000</f>
        <v>56147.210526197698</v>
      </c>
      <c r="M101" s="756">
        <f t="shared" si="16"/>
        <v>56147.210526197698</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28.04065142078467</v>
      </c>
      <c r="K102" s="1681">
        <f t="shared" si="15"/>
        <v>26351.313090000003</v>
      </c>
      <c r="L102" s="1681">
        <f t="shared" si="39"/>
        <v>58224.87199564941</v>
      </c>
      <c r="M102" s="756">
        <f t="shared" si="16"/>
        <v>58224.87199564941</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28.04065142078467</v>
      </c>
      <c r="K103" s="1681">
        <f t="shared" si="15"/>
        <v>26688.712680000001</v>
      </c>
      <c r="L103" s="1681">
        <f t="shared" si="39"/>
        <v>59941.969548218069</v>
      </c>
      <c r="M103" s="756">
        <f t="shared" si="16"/>
        <v>59941.969548218069</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28.04065142078467</v>
      </c>
      <c r="K104" s="1681">
        <f t="shared" si="15"/>
        <v>27006.435450000001</v>
      </c>
      <c r="L104" s="1681">
        <f t="shared" si="39"/>
        <v>62672.058167683506</v>
      </c>
      <c r="M104" s="756">
        <f t="shared" si="16"/>
        <v>62672.058167683506</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28.04065142078467</v>
      </c>
      <c r="K105" s="1681">
        <f t="shared" si="15"/>
        <v>27314.898540000002</v>
      </c>
      <c r="L105" s="1681">
        <f t="shared" si="39"/>
        <v>65979.297969081555</v>
      </c>
      <c r="M105" s="756">
        <f t="shared" si="16"/>
        <v>65979.297969081555</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28.04065142078467</v>
      </c>
      <c r="K106" s="1681">
        <f t="shared" si="15"/>
        <v>27623.361630000003</v>
      </c>
      <c r="L106" s="1681">
        <f t="shared" si="39"/>
        <v>69676.644322777996</v>
      </c>
      <c r="M106" s="756">
        <f t="shared" si="16"/>
        <v>69676.644322777996</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28.04065142078467</v>
      </c>
      <c r="K107" s="1681">
        <f t="shared" si="15"/>
        <v>27927.77361</v>
      </c>
      <c r="L107" s="1681">
        <f t="shared" si="39"/>
        <v>73411.644043358319</v>
      </c>
      <c r="M107" s="756">
        <f t="shared" si="16"/>
        <v>73411.644043358319</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28.04065142078467</v>
      </c>
      <c r="K108" s="1681">
        <f t="shared" si="15"/>
        <v>28237.972890000001</v>
      </c>
      <c r="L108" s="1681">
        <f t="shared" si="39"/>
        <v>75754.243918118431</v>
      </c>
      <c r="M108" s="756">
        <f t="shared" si="16"/>
        <v>75754.243918118431</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28.04065142078467</v>
      </c>
      <c r="K109" s="1681">
        <f t="shared" si="15"/>
        <v>28542.963600000003</v>
      </c>
      <c r="L109" s="1681">
        <f t="shared" si="39"/>
        <v>74589.075972361505</v>
      </c>
      <c r="M109" s="756">
        <f t="shared" si="16"/>
        <v>74589.075972361505</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28.04065142078467</v>
      </c>
      <c r="K110" s="751">
        <f t="shared" si="15"/>
        <v>27898.357273411028</v>
      </c>
      <c r="L110" s="751">
        <f t="shared" si="39"/>
        <v>76856.383098571241</v>
      </c>
      <c r="M110" s="752">
        <f t="shared" si="16"/>
        <v>76856.383098571241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28.04065142078467</v>
      </c>
      <c r="K111" s="1681">
        <f>B111*I110</f>
        <v>28961.817814352566</v>
      </c>
      <c r="L111" s="1681">
        <f t="shared" si="39"/>
        <v>79380.475947387997</v>
      </c>
      <c r="M111" s="756">
        <f t="shared" si="16"/>
        <v>79380.475947387997</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52.325000000000003</v>
      </c>
      <c r="C112" s="1660">
        <f>INDEX(Drivers!$A$16:$AM$16,1,$A112-2011)</f>
        <v>2893.5800000000004</v>
      </c>
      <c r="D112" s="1113">
        <v>0</v>
      </c>
      <c r="E112" s="1100">
        <f t="shared" si="38"/>
        <v>0</v>
      </c>
      <c r="F112" s="754">
        <f t="shared" si="27"/>
        <v>0.71479999999999999</v>
      </c>
      <c r="G112" s="754">
        <f t="shared" si="28"/>
        <v>0.28959999999999997</v>
      </c>
      <c r="H112" s="755">
        <v>501</v>
      </c>
      <c r="I112" s="1299">
        <f t="shared" si="40"/>
        <v>520.80492521020824</v>
      </c>
      <c r="J112" s="1680">
        <f t="shared" si="22"/>
        <v>28.04065142078467</v>
      </c>
      <c r="K112" s="1681">
        <f t="shared" ref="K112:K150" si="41">B112*I112</f>
        <v>27251.117711624149</v>
      </c>
      <c r="L112" s="1681">
        <f t="shared" si="39"/>
        <v>81137.86813815411</v>
      </c>
      <c r="M112" s="756">
        <f t="shared" si="16"/>
        <v>81137.86813815411</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53.103999999999999</v>
      </c>
      <c r="C113" s="1660">
        <f>INDEX(Drivers!$A$16:$AM$16,1,$A113-2011)</f>
        <v>2965.2699999999995</v>
      </c>
      <c r="D113" s="1113">
        <v>0</v>
      </c>
      <c r="E113" s="1100">
        <f t="shared" si="38"/>
        <v>0</v>
      </c>
      <c r="F113" s="754">
        <f t="shared" si="27"/>
        <v>0.71479999999999999</v>
      </c>
      <c r="G113" s="754">
        <f t="shared" si="28"/>
        <v>0.28959999999999997</v>
      </c>
      <c r="H113" s="755">
        <v>501</v>
      </c>
      <c r="I113" s="1299">
        <f t="shared" si="40"/>
        <v>501.49656694694431</v>
      </c>
      <c r="J113" s="1680">
        <f t="shared" si="22"/>
        <v>28.04065142078467</v>
      </c>
      <c r="K113" s="1681">
        <f t="shared" si="41"/>
        <v>26631.473691150532</v>
      </c>
      <c r="L113" s="1681">
        <f t="shared" si="39"/>
        <v>83148.102438510148</v>
      </c>
      <c r="M113" s="756">
        <f t="shared" si="16"/>
        <v>83148.102438510148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53.911999999999999</v>
      </c>
      <c r="C114" s="1660">
        <f>INDEX(Drivers!$A$16:$AM$16,1,$A114-2011)</f>
        <v>3020.9599999999996</v>
      </c>
      <c r="D114" s="1113">
        <v>0</v>
      </c>
      <c r="E114" s="1100">
        <f t="shared" si="38"/>
        <v>0</v>
      </c>
      <c r="F114" s="754">
        <f t="shared" si="27"/>
        <v>0.71479999999999999</v>
      </c>
      <c r="G114" s="754">
        <f t="shared" si="28"/>
        <v>0.28959999999999997</v>
      </c>
      <c r="H114" s="755">
        <v>501</v>
      </c>
      <c r="I114" s="1299">
        <f t="shared" si="40"/>
        <v>482.18820868368039</v>
      </c>
      <c r="J114" s="1680">
        <f t="shared" si="22"/>
        <v>28.04065142078467</v>
      </c>
      <c r="K114" s="1681">
        <f t="shared" si="41"/>
        <v>25995.730706554576</v>
      </c>
      <c r="L114" s="1681">
        <f t="shared" si="39"/>
        <v>84709.686316133651</v>
      </c>
      <c r="M114" s="756">
        <f t="shared" ref="M114:M116" si="42">C114*J114*1000/1000</f>
        <v>84709.686316133651</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v>
      </c>
      <c r="C115" s="1660">
        <f>INDEX(Drivers!$A$16:$AM$16,1,$A115-2011)</f>
        <v>3059.45</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28.04065142078467</v>
      </c>
      <c r="K115" s="1681">
        <f t="shared" si="41"/>
        <v>25342.671810517801</v>
      </c>
      <c r="L115" s="1681">
        <f t="shared" si="39"/>
        <v>85788.970989319656</v>
      </c>
      <c r="M115" s="756">
        <f t="shared" si="42"/>
        <v>85788.970989319656</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55.62</v>
      </c>
      <c r="C116" s="1660">
        <f>INDEX(Drivers!$A$16:$AM$16,1,$A116-2011)</f>
        <v>3083.9199999999996</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28.04065142078467</v>
      </c>
      <c r="K116" s="1681">
        <f t="shared" si="41"/>
        <v>24671.446393780821</v>
      </c>
      <c r="L116" s="1681">
        <f t="shared" si="39"/>
        <v>86475.125729586245</v>
      </c>
      <c r="M116" s="756">
        <f t="shared" si="42"/>
        <v>86475.125729586245</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2" thickBot="1">
      <c r="A117" s="1683">
        <f>A116+1</f>
        <v>2017</v>
      </c>
      <c r="B117" s="1662">
        <f>INDEX(Drivers!$A$8:$AM$8,1,$A117-2011)/1000</f>
        <v>56.521999999999998</v>
      </c>
      <c r="C117" s="1663">
        <f>INDEX(Drivers!$A$16:$AM$16,1,$A117-2011)</f>
        <v>3120.54</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12.019369527266241</v>
      </c>
      <c r="K117" s="1684">
        <f t="shared" si="41"/>
        <v>23980.200853950373</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v>
      </c>
      <c r="C118" s="1666">
        <f>INDEX(Drivers!$A$16:$AM$16,1,$A118-2011)</f>
        <v>3152.24</v>
      </c>
      <c r="D118" s="1667">
        <f>INDEX(Drivers!$A$25:$AM$25,1,$A118-2011)/INDEX(Drivers!$A$25:$AM$25,1,$A118-2012)*D117</f>
        <v>50172070.130067617</v>
      </c>
      <c r="E118" s="762">
        <f>D118</f>
        <v>50172070.130067617</v>
      </c>
      <c r="F118" s="1120"/>
      <c r="G118" s="1120"/>
      <c r="H118" s="1121"/>
      <c r="I118" s="1294">
        <f t="shared" ref="I118:I150" si="51">I117</f>
        <v>424.26313389388866</v>
      </c>
      <c r="J118" s="1295">
        <f>$C$6</f>
        <v>12.019369527266241</v>
      </c>
      <c r="K118" s="1296">
        <f>B118*I118</f>
        <v>24367.97735832939</v>
      </c>
      <c r="L118" s="1296">
        <f>C118*J118+D118/1000</f>
        <v>88060.007528697344</v>
      </c>
      <c r="M118" s="1297">
        <f>C118*J118*1000/1000+E118/1000</f>
        <v>88060.007528697344</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58.365000000000002</v>
      </c>
      <c r="C119" s="1660">
        <f>INDEX(Drivers!$A$16:$AM$16,1,$A119-2011)</f>
        <v>3179.2899999999995</v>
      </c>
      <c r="D119" s="1661">
        <f>INDEX(Drivers!$A$25:$AM$25,1,$A119-2011)/INDEX(Drivers!$A$25:$AM$25,1,$A119-2012)*D118</f>
        <v>49847473.41597119</v>
      </c>
      <c r="E119" s="762">
        <f t="shared" ref="E119:E150" si="52">D119</f>
        <v>49847473.41597119</v>
      </c>
      <c r="F119" s="1122"/>
      <c r="G119" s="1122"/>
      <c r="H119" s="1123"/>
      <c r="I119" s="1294">
        <f t="shared" si="51"/>
        <v>424.26313389388866</v>
      </c>
      <c r="J119" s="1295">
        <f t="shared" ref="J119:J150" si="53">$C$6</f>
        <v>12.019369527266241</v>
      </c>
      <c r="K119" s="1296">
        <f t="shared" si="41"/>
        <v>24762.117809716812</v>
      </c>
      <c r="L119" s="1296">
        <f t="shared" ref="L119:L150" si="54">C119*J119*1000/1000+D119/1000</f>
        <v>88060.534760313458</v>
      </c>
      <c r="M119" s="1297">
        <f t="shared" ref="M119:M150" si="55">C119*J119*1000/1000+E119/1000</f>
        <v>88060.534760313458</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59.308999999999997</v>
      </c>
      <c r="C120" s="1660">
        <f>INDEX(Drivers!$A$16:$AM$16,1,$A120-2011)</f>
        <v>2948.9199999999987</v>
      </c>
      <c r="D120" s="1661">
        <f>INDEX(Drivers!$A$25:$AM$25,1,$A120-2011)/INDEX(Drivers!$A$25:$AM$25,1,$A120-2012)*D119</f>
        <v>47586944.933914557</v>
      </c>
      <c r="E120" s="762">
        <f t="shared" si="52"/>
        <v>47586944.933914557</v>
      </c>
      <c r="F120" s="1122"/>
      <c r="G120" s="1122"/>
      <c r="H120" s="1123"/>
      <c r="I120" s="1294">
        <f t="shared" si="51"/>
        <v>424.26313389388866</v>
      </c>
      <c r="J120" s="1295">
        <f t="shared" si="53"/>
        <v>12.019369527266241</v>
      </c>
      <c r="K120" s="1296">
        <f t="shared" si="41"/>
        <v>25162.622208112643</v>
      </c>
      <c r="L120" s="1296">
        <f t="shared" si="54"/>
        <v>83031.104120260512</v>
      </c>
      <c r="M120" s="1297">
        <f t="shared" si="55"/>
        <v>83031.104120260512</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59.991999999999997</v>
      </c>
      <c r="C121" s="1660">
        <f>INDEX(Drivers!$A$16:$AM$16,1,$A121-2011)</f>
        <v>3014.38</v>
      </c>
      <c r="D121" s="1661">
        <f>INDEX(Drivers!$A$25:$AM$25,1,$A121-2011)/INDEX(Drivers!$A$25:$AM$25,1,$A121-2012)*D120</f>
        <v>47328556.831579238</v>
      </c>
      <c r="E121" s="762">
        <f t="shared" si="52"/>
        <v>47328556.831579238</v>
      </c>
      <c r="F121" s="1122"/>
      <c r="G121" s="1122"/>
      <c r="H121" s="1123"/>
      <c r="I121" s="1294">
        <f t="shared" si="51"/>
        <v>424.26313389388866</v>
      </c>
      <c r="J121" s="1295">
        <f t="shared" si="53"/>
        <v>12.019369527266241</v>
      </c>
      <c r="K121" s="1296">
        <f t="shared" si="41"/>
        <v>25452.393928562167</v>
      </c>
      <c r="L121" s="1296">
        <f t="shared" si="54"/>
        <v>83559.503947180056</v>
      </c>
      <c r="M121" s="1297">
        <f t="shared" si="55"/>
        <v>83559.503947180056</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60.682000000000002</v>
      </c>
      <c r="C122" s="1660">
        <f>INDEX(Drivers!$A$16:$AM$16,1,$A122-2011)</f>
        <v>3077.2</v>
      </c>
      <c r="D122" s="1661">
        <f>INDEX(Drivers!$A$25:$AM$25,1,$A122-2011)/INDEX(Drivers!$A$25:$AM$25,1,$A122-2012)*D121</f>
        <v>45903210.392984279</v>
      </c>
      <c r="E122" s="762">
        <f t="shared" si="52"/>
        <v>45903210.392984279</v>
      </c>
      <c r="F122" s="1122"/>
      <c r="G122" s="1122"/>
      <c r="H122" s="1123"/>
      <c r="I122" s="1294">
        <f t="shared" si="51"/>
        <v>424.26313389388866</v>
      </c>
      <c r="J122" s="1295">
        <f t="shared" si="53"/>
        <v>12.019369527266241</v>
      </c>
      <c r="K122" s="1296">
        <f t="shared" si="41"/>
        <v>25745.135490948953</v>
      </c>
      <c r="L122" s="1296">
        <f t="shared" si="54"/>
        <v>82889.214302287961</v>
      </c>
      <c r="M122" s="1297">
        <f t="shared" si="55"/>
        <v>82889.214302287961</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v>
      </c>
      <c r="C123" s="1660">
        <f>INDEX(Drivers!$A$16:$AM$16,1,$A123-2011)</f>
        <v>3140.61</v>
      </c>
      <c r="D123" s="1661">
        <f>INDEX(Drivers!$A$25:$AM$25,1,$A123-2011)/INDEX(Drivers!$A$25:$AM$25,1,$A123-2012)*D122</f>
        <v>44745286.877069645</v>
      </c>
      <c r="E123" s="762">
        <f t="shared" si="52"/>
        <v>44745286.877069645</v>
      </c>
      <c r="F123" s="1122"/>
      <c r="G123" s="1122"/>
      <c r="H123" s="1123"/>
      <c r="I123" s="1294">
        <f t="shared" si="51"/>
        <v>424.26313389388866</v>
      </c>
      <c r="J123" s="1295">
        <f t="shared" si="53"/>
        <v>12.019369527266241</v>
      </c>
      <c r="K123" s="1296">
        <f t="shared" si="41"/>
        <v>26041.695421540779</v>
      </c>
      <c r="L123" s="1296">
        <f t="shared" si="54"/>
        <v>82493.439008097281</v>
      </c>
      <c r="M123" s="1297">
        <f t="shared" si="55"/>
        <v>82493.439008097281</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62.088000000000001</v>
      </c>
      <c r="C124" s="1660">
        <f>INDEX(Drivers!$A$16:$AM$16,1,$A124-2011)</f>
        <v>3201.77</v>
      </c>
      <c r="D124" s="1661">
        <f>INDEX(Drivers!$A$25:$AM$25,1,$A124-2011)/INDEX(Drivers!$A$25:$AM$25,1,$A124-2012)*D123</f>
        <v>43251251.992583826</v>
      </c>
      <c r="E124" s="762">
        <f t="shared" si="52"/>
        <v>43251251.992583826</v>
      </c>
      <c r="F124" s="1122"/>
      <c r="G124" s="1122"/>
      <c r="H124" s="1123"/>
      <c r="I124" s="1294">
        <f t="shared" si="51"/>
        <v>424.26313389388866</v>
      </c>
      <c r="J124" s="1295">
        <f t="shared" si="53"/>
        <v>12.019369527266241</v>
      </c>
      <c r="K124" s="1296">
        <f t="shared" si="41"/>
        <v>26341.649457203759</v>
      </c>
      <c r="L124" s="1296">
        <f t="shared" si="54"/>
        <v>81734.508763899066</v>
      </c>
      <c r="M124" s="1297">
        <f t="shared" si="55"/>
        <v>81734.508763899066</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62.802999999999997</v>
      </c>
      <c r="C125" s="1660">
        <f>INDEX(Drivers!$A$16:$AM$16,1,$A125-2011)</f>
        <v>3265.54</v>
      </c>
      <c r="D125" s="1661">
        <f>INDEX(Drivers!$A$25:$AM$25,1,$A125-2011)/INDEX(Drivers!$A$25:$AM$25,1,$A125-2012)*D124</f>
        <v>40955103.194912732</v>
      </c>
      <c r="E125" s="762">
        <f t="shared" si="52"/>
        <v>40955103.194912732</v>
      </c>
      <c r="F125" s="1122"/>
      <c r="G125" s="1122"/>
      <c r="H125" s="1123"/>
      <c r="I125" s="1294">
        <f t="shared" si="51"/>
        <v>424.26313389388866</v>
      </c>
      <c r="J125" s="1295">
        <f t="shared" si="53"/>
        <v>12.019369527266241</v>
      </c>
      <c r="K125" s="1296">
        <f t="shared" si="41"/>
        <v>26644.997597937887</v>
      </c>
      <c r="L125" s="1296">
        <f t="shared" si="54"/>
        <v>80204.835160981718</v>
      </c>
      <c r="M125" s="1297">
        <f t="shared" si="55"/>
        <v>80204.835160981718</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63.420999999999999</v>
      </c>
      <c r="C126" s="1660">
        <f>INDEX(Drivers!$A$16:$AM$16,1,$A126-2011)</f>
        <v>3341.28</v>
      </c>
      <c r="D126" s="1661">
        <f>INDEX(Drivers!$A$25:$AM$25,1,$A126-2011)/INDEX(Drivers!$A$25:$AM$25,1,$A126-2012)*D125</f>
        <v>39969673.998818383</v>
      </c>
      <c r="E126" s="762">
        <f t="shared" si="52"/>
        <v>39969673.998818383</v>
      </c>
      <c r="F126" s="1122"/>
      <c r="G126" s="1122"/>
      <c r="H126" s="1123"/>
      <c r="I126" s="1294">
        <f t="shared" si="51"/>
        <v>424.26313389388866</v>
      </c>
      <c r="J126" s="1295">
        <f t="shared" si="53"/>
        <v>12.019369527266241</v>
      </c>
      <c r="K126" s="1296">
        <f t="shared" si="41"/>
        <v>26907.192214684314</v>
      </c>
      <c r="L126" s="1296">
        <f t="shared" si="54"/>
        <v>80129.753012882531</v>
      </c>
      <c r="M126" s="1297">
        <f t="shared" si="55"/>
        <v>80129.753012882531</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64.046000000000006</v>
      </c>
      <c r="C127" s="1660">
        <f>INDEX(Drivers!$A$16:$AM$16,1,$A127-2011)</f>
        <v>3416.2799999999997</v>
      </c>
      <c r="D127" s="1661">
        <f>INDEX(Drivers!$A$25:$AM$25,1,$A127-2011)/INDEX(Drivers!$A$25:$AM$25,1,$A127-2012)*D126</f>
        <v>38984244.802724026</v>
      </c>
      <c r="E127" s="762">
        <f t="shared" si="52"/>
        <v>38984244.802724026</v>
      </c>
      <c r="F127" s="1122"/>
      <c r="G127" s="1122"/>
      <c r="H127" s="1123"/>
      <c r="I127" s="1294">
        <f t="shared" si="51"/>
        <v>424.26313389388866</v>
      </c>
      <c r="J127" s="1295">
        <f t="shared" si="53"/>
        <v>12.019369527266241</v>
      </c>
      <c r="K127" s="1296">
        <f t="shared" si="41"/>
        <v>27172.356673367995</v>
      </c>
      <c r="L127" s="1296">
        <f t="shared" si="54"/>
        <v>80045.776531333133</v>
      </c>
      <c r="M127" s="1297">
        <f t="shared" si="55"/>
        <v>80045.776531333133</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64.676000000000002</v>
      </c>
      <c r="C128" s="1660">
        <f>INDEX(Drivers!$A$16:$AM$16,1,$A128-2011)</f>
        <v>3494.8800000000006</v>
      </c>
      <c r="D128" s="1661">
        <f>INDEX(Drivers!$A$25:$AM$25,1,$A128-2011)/INDEX(Drivers!$A$25:$AM$25,1,$A128-2012)*D127</f>
        <v>37998815.60662967</v>
      </c>
      <c r="E128" s="762">
        <f t="shared" si="52"/>
        <v>37998815.60662967</v>
      </c>
      <c r="F128" s="1122"/>
      <c r="G128" s="1122"/>
      <c r="H128" s="1123"/>
      <c r="I128" s="1294">
        <f t="shared" si="51"/>
        <v>424.26313389388866</v>
      </c>
      <c r="J128" s="1295">
        <f t="shared" si="53"/>
        <v>12.019369527266241</v>
      </c>
      <c r="K128" s="1296">
        <f t="shared" si="41"/>
        <v>27439.642447721144</v>
      </c>
      <c r="L128" s="1296">
        <f t="shared" si="54"/>
        <v>80005.069780081918</v>
      </c>
      <c r="M128" s="1297">
        <f t="shared" si="55"/>
        <v>80005.069780081918</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65.313000000000002</v>
      </c>
      <c r="C129" s="1660">
        <f>INDEX(Drivers!$A$16:$AM$16,1,$A129-2011)</f>
        <v>3576.08</v>
      </c>
      <c r="D129" s="1661">
        <f>INDEX(Drivers!$A$25:$AM$25,1,$A129-2011)/INDEX(Drivers!$A$25:$AM$25,1,$A129-2012)*D128</f>
        <v>37013386.410535313</v>
      </c>
      <c r="E129" s="762">
        <f t="shared" si="52"/>
        <v>37013386.410535313</v>
      </c>
      <c r="F129" s="1122"/>
      <c r="G129" s="1122"/>
      <c r="H129" s="1123"/>
      <c r="I129" s="1294">
        <f t="shared" si="51"/>
        <v>424.26313389388866</v>
      </c>
      <c r="J129" s="1295">
        <f t="shared" si="53"/>
        <v>12.019369527266241</v>
      </c>
      <c r="K129" s="1296">
        <f t="shared" si="41"/>
        <v>27709.898064011551</v>
      </c>
      <c r="L129" s="1296">
        <f t="shared" si="54"/>
        <v>79995.613389601567</v>
      </c>
      <c r="M129" s="1297">
        <f t="shared" si="55"/>
        <v>79995.613389601567</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65.956000000000003</v>
      </c>
      <c r="C130" s="1660">
        <f>INDEX(Drivers!$A$16:$AM$16,1,$A130-2011)</f>
        <v>3660.12</v>
      </c>
      <c r="D130" s="1661">
        <f>INDEX(Drivers!$A$25:$AM$25,1,$A130-2011)/INDEX(Drivers!$A$25:$AM$25,1,$A130-2012)*D129</f>
        <v>36027957.214440949</v>
      </c>
      <c r="E130" s="762">
        <f t="shared" si="52"/>
        <v>36027957.214440949</v>
      </c>
      <c r="F130" s="1122"/>
      <c r="G130" s="1122"/>
      <c r="H130" s="1123"/>
      <c r="I130" s="1294">
        <f t="shared" si="51"/>
        <v>424.26313389388866</v>
      </c>
      <c r="J130" s="1295">
        <f t="shared" si="53"/>
        <v>12.019369527266241</v>
      </c>
      <c r="K130" s="1296">
        <f t="shared" si="41"/>
        <v>27982.69925910532</v>
      </c>
      <c r="L130" s="1296">
        <f t="shared" si="54"/>
        <v>80020.292008578661</v>
      </c>
      <c r="M130" s="1297">
        <f t="shared" si="55"/>
        <v>80020.292008578661</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66.519000000000005</v>
      </c>
      <c r="C131" s="1660">
        <f>INDEX(Drivers!$A$16:$AM$16,1,$A131-2011)</f>
        <v>3761.03</v>
      </c>
      <c r="D131" s="1661">
        <f>INDEX(Drivers!$A$25:$AM$25,1,$A131-2011)/INDEX(Drivers!$A$25:$AM$25,1,$A131-2012)*D130</f>
        <v>35846430.699385166</v>
      </c>
      <c r="E131" s="762">
        <f t="shared" si="52"/>
        <v>35846430.699385166</v>
      </c>
      <c r="F131" s="1122"/>
      <c r="G131" s="1122"/>
      <c r="H131" s="1123"/>
      <c r="I131" s="1294">
        <f t="shared" si="51"/>
        <v>424.26313389388866</v>
      </c>
      <c r="J131" s="1295">
        <f t="shared" si="53"/>
        <v>12.019369527266241</v>
      </c>
      <c r="K131" s="1296">
        <f t="shared" si="41"/>
        <v>28221.559403487583</v>
      </c>
      <c r="L131" s="1296">
        <f t="shared" si="54"/>
        <v>81051.640072519309</v>
      </c>
      <c r="M131" s="1297">
        <f t="shared" si="55"/>
        <v>81051.640072519309</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67.087000000000003</v>
      </c>
      <c r="C132" s="1660">
        <f>INDEX(Drivers!$A$16:$AM$16,1,$A132-2011)</f>
        <v>3857.2</v>
      </c>
      <c r="D132" s="1661">
        <f>INDEX(Drivers!$A$25:$AM$25,1,$A132-2011)/INDEX(Drivers!$A$25:$AM$25,1,$A132-2012)*D131</f>
        <v>35664904.184329376</v>
      </c>
      <c r="E132" s="762">
        <f t="shared" si="52"/>
        <v>35664904.184329376</v>
      </c>
      <c r="F132" s="1122"/>
      <c r="G132" s="1122"/>
      <c r="H132" s="1123"/>
      <c r="I132" s="1294">
        <f t="shared" si="51"/>
        <v>424.26313389388866</v>
      </c>
      <c r="J132" s="1295">
        <f t="shared" si="53"/>
        <v>12.019369527266241</v>
      </c>
      <c r="K132" s="1296">
        <f t="shared" si="41"/>
        <v>28462.540863539311</v>
      </c>
      <c r="L132" s="1296">
        <f t="shared" si="54"/>
        <v>82026.016324900716</v>
      </c>
      <c r="M132" s="1297">
        <f t="shared" si="55"/>
        <v>82026.016324900716</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67.659000000000006</v>
      </c>
      <c r="C133" s="1660">
        <f>INDEX(Drivers!$A$16:$AM$16,1,$A133-2011)</f>
        <v>3964.01</v>
      </c>
      <c r="D133" s="1661">
        <f>INDEX(Drivers!$A$25:$AM$25,1,$A133-2011)/INDEX(Drivers!$A$25:$AM$25,1,$A133-2012)*D132</f>
        <v>35483377.6692736</v>
      </c>
      <c r="E133" s="762">
        <f t="shared" si="52"/>
        <v>35483377.6692736</v>
      </c>
      <c r="F133" s="1122"/>
      <c r="G133" s="1122"/>
      <c r="H133" s="1123"/>
      <c r="I133" s="1294">
        <f t="shared" si="51"/>
        <v>424.26313389388866</v>
      </c>
      <c r="J133" s="1295">
        <f t="shared" si="53"/>
        <v>12.019369527266241</v>
      </c>
      <c r="K133" s="1296">
        <f t="shared" si="41"/>
        <v>28705.219376126617</v>
      </c>
      <c r="L133" s="1296">
        <f t="shared" si="54"/>
        <v>83128.278669052263</v>
      </c>
      <c r="M133" s="1297">
        <f t="shared" si="55"/>
        <v>83128.278669052263</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68.236999999999995</v>
      </c>
      <c r="C134" s="1660">
        <f>INDEX(Drivers!$A$16:$AM$16,1,$A134-2011)</f>
        <v>4078.22</v>
      </c>
      <c r="D134" s="1661">
        <f>INDEX(Drivers!$A$25:$AM$25,1,$A134-2011)/INDEX(Drivers!$A$25:$AM$25,1,$A134-2012)*D133</f>
        <v>35301851.154217809</v>
      </c>
      <c r="E134" s="762">
        <f t="shared" si="52"/>
        <v>35301851.154217809</v>
      </c>
      <c r="F134" s="1122"/>
      <c r="G134" s="1122"/>
      <c r="H134" s="1123"/>
      <c r="I134" s="1294">
        <f t="shared" si="51"/>
        <v>424.26313389388866</v>
      </c>
      <c r="J134" s="1295">
        <f t="shared" si="53"/>
        <v>12.019369527266241</v>
      </c>
      <c r="K134" s="1296">
        <f t="shared" si="41"/>
        <v>28950.443467517278</v>
      </c>
      <c r="L134" s="1296">
        <f t="shared" si="54"/>
        <v>84319.484347705526</v>
      </c>
      <c r="M134" s="1297">
        <f t="shared" si="55"/>
        <v>84319.484347705526</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68.819000000000003</v>
      </c>
      <c r="C135" s="1660">
        <f>INDEX(Drivers!$A$16:$AM$16,1,$A135-2011)</f>
        <v>4200.2899999999991</v>
      </c>
      <c r="D135" s="1661">
        <f>INDEX(Drivers!$A$25:$AM$25,1,$A135-2011)/INDEX(Drivers!$A$25:$AM$25,1,$A135-2012)*D134</f>
        <v>35120324.639162026</v>
      </c>
      <c r="E135" s="762">
        <f t="shared" si="52"/>
        <v>35120324.639162026</v>
      </c>
      <c r="F135" s="1122"/>
      <c r="G135" s="1122"/>
      <c r="H135" s="1123"/>
      <c r="I135" s="1294">
        <f t="shared" si="51"/>
        <v>424.26313389388866</v>
      </c>
      <c r="J135" s="1295">
        <f t="shared" si="53"/>
        <v>12.019369527266241</v>
      </c>
      <c r="K135" s="1296">
        <f t="shared" si="41"/>
        <v>29197.364611443525</v>
      </c>
      <c r="L135" s="1296">
        <f t="shared" si="54"/>
        <v>85605.162270843139</v>
      </c>
      <c r="M135" s="1297">
        <f t="shared" si="55"/>
        <v>85605.162270843139</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69.322999999999993</v>
      </c>
      <c r="C136" s="1660">
        <f>INDEX(Drivers!$A$16:$AM$16,1,$A136-2011)</f>
        <v>4325.9699999999993</v>
      </c>
      <c r="D136" s="1661">
        <f>INDEX(Drivers!$A$25:$AM$25,1,$A136-2011)/INDEX(Drivers!$A$25:$AM$25,1,$A136-2012)*D135</f>
        <v>32285395.803631678</v>
      </c>
      <c r="E136" s="762">
        <f t="shared" si="52"/>
        <v>32285395.803631678</v>
      </c>
      <c r="F136" s="1122"/>
      <c r="G136" s="1122"/>
      <c r="H136" s="1123"/>
      <c r="I136" s="1294">
        <f t="shared" si="51"/>
        <v>424.26313389388866</v>
      </c>
      <c r="J136" s="1295">
        <f t="shared" si="53"/>
        <v>12.019369527266241</v>
      </c>
      <c r="K136" s="1296">
        <f t="shared" si="41"/>
        <v>29411.193230926041</v>
      </c>
      <c r="L136" s="1296">
        <f t="shared" si="54"/>
        <v>84280.827797499616</v>
      </c>
      <c r="M136" s="1297">
        <f t="shared" si="55"/>
        <v>84280.827797499616</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v>
      </c>
      <c r="C137" s="1660">
        <f>INDEX(Drivers!$A$16:$AM$16,1,$A137-2011)</f>
        <v>4457.0000000000018</v>
      </c>
      <c r="D137" s="1661">
        <f>INDEX(Drivers!$A$25:$AM$25,1,$A137-2011)/INDEX(Drivers!$A$25:$AM$25,1,$A137-2012)*D136</f>
        <v>29450466.968101323</v>
      </c>
      <c r="E137" s="762">
        <f t="shared" si="52"/>
        <v>29450466.968101323</v>
      </c>
      <c r="F137" s="1122"/>
      <c r="G137" s="1122"/>
      <c r="H137" s="1123"/>
      <c r="I137" s="1294">
        <f t="shared" si="51"/>
        <v>424.26313389388866</v>
      </c>
      <c r="J137" s="1295">
        <f t="shared" si="53"/>
        <v>12.019369527266241</v>
      </c>
      <c r="K137" s="1296">
        <f t="shared" si="41"/>
        <v>29626.294639810243</v>
      </c>
      <c r="L137" s="1296">
        <f t="shared" si="54"/>
        <v>83020.796951126977</v>
      </c>
      <c r="M137" s="1297">
        <f t="shared" si="55"/>
        <v>83020.796951126977</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70.341999999999999</v>
      </c>
      <c r="C138" s="1660">
        <f>INDEX(Drivers!$A$16:$AM$16,1,$A138-2011)</f>
        <v>4590.03</v>
      </c>
      <c r="D138" s="1661">
        <f>INDEX(Drivers!$A$25:$AM$25,1,$A138-2011)/INDEX(Drivers!$A$25:$AM$25,1,$A138-2012)*D137</f>
        <v>26615538.132570967</v>
      </c>
      <c r="E138" s="762">
        <f t="shared" si="52"/>
        <v>26615538.132570967</v>
      </c>
      <c r="F138" s="1122"/>
      <c r="G138" s="1122"/>
      <c r="H138" s="1123"/>
      <c r="I138" s="1294">
        <f t="shared" si="51"/>
        <v>424.26313389388866</v>
      </c>
      <c r="J138" s="1295">
        <f t="shared" si="53"/>
        <v>12.019369527266241</v>
      </c>
      <c r="K138" s="1296">
        <f t="shared" si="41"/>
        <v>29843.517364363917</v>
      </c>
      <c r="L138" s="1296">
        <f t="shared" si="54"/>
        <v>81784.80484380883</v>
      </c>
      <c r="M138" s="1297">
        <f t="shared" si="55"/>
        <v>81784.80484380883</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70.856999999999999</v>
      </c>
      <c r="C139" s="1660">
        <f>INDEX(Drivers!$A$16:$AM$16,1,$A139-2011)</f>
        <v>4728.5300000000007</v>
      </c>
      <c r="D139" s="1661">
        <f>INDEX(Drivers!$A$25:$AM$25,1,$A139-2011)/INDEX(Drivers!$A$25:$AM$25,1,$A139-2012)*D138</f>
        <v>23780609.297040608</v>
      </c>
      <c r="E139" s="762">
        <f t="shared" si="52"/>
        <v>23780609.297040608</v>
      </c>
      <c r="F139" s="1122"/>
      <c r="G139" s="1122"/>
      <c r="H139" s="1123"/>
      <c r="I139" s="1294">
        <f t="shared" si="51"/>
        <v>424.26313389388866</v>
      </c>
      <c r="J139" s="1295">
        <f t="shared" si="53"/>
        <v>12.019369527266241</v>
      </c>
      <c r="K139" s="1296">
        <f t="shared" si="41"/>
        <v>30062.01287831927</v>
      </c>
      <c r="L139" s="1296">
        <f t="shared" si="54"/>
        <v>80614.558687804849</v>
      </c>
      <c r="M139" s="1297">
        <f t="shared" si="55"/>
        <v>80614.558687804849</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v>
      </c>
      <c r="C140" s="1660">
        <f>INDEX(Drivers!$A$16:$AM$16,1,$A140-2011)</f>
        <v>4875.51</v>
      </c>
      <c r="D140" s="1661">
        <f>INDEX(Drivers!$A$25:$AM$25,1,$A140-2011)/INDEX(Drivers!$A$25:$AM$25,1,$A140-2012)*D139</f>
        <v>20945680.461510252</v>
      </c>
      <c r="E140" s="762">
        <f t="shared" si="52"/>
        <v>20945680.461510252</v>
      </c>
      <c r="F140" s="1122"/>
      <c r="G140" s="1122"/>
      <c r="H140" s="1123"/>
      <c r="I140" s="1294">
        <f t="shared" si="51"/>
        <v>424.26313389388866</v>
      </c>
      <c r="J140" s="1295">
        <f t="shared" si="53"/>
        <v>12.019369527266241</v>
      </c>
      <c r="K140" s="1296">
        <f t="shared" si="41"/>
        <v>30281.781181676302</v>
      </c>
      <c r="L140" s="1296">
        <f t="shared" si="54"/>
        <v>79546.236785392073</v>
      </c>
      <c r="M140" s="1297">
        <f t="shared" si="55"/>
        <v>79546.236785392073</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71.819000000000003</v>
      </c>
      <c r="C141" s="1660">
        <f>INDEX(Drivers!$A$16:$AM$16,1,$A141-2011)</f>
        <v>5028.54</v>
      </c>
      <c r="D141" s="1661">
        <f>INDEX(Drivers!$A$25:$AM$25,1,$A141-2011)/INDEX(Drivers!$A$25:$AM$25,1,$A141-2012)*D140</f>
        <v>19664699.523913871</v>
      </c>
      <c r="E141" s="762">
        <f t="shared" si="52"/>
        <v>19664699.523913871</v>
      </c>
      <c r="F141" s="1122"/>
      <c r="G141" s="1122"/>
      <c r="H141" s="1123"/>
      <c r="I141" s="1294">
        <f t="shared" si="51"/>
        <v>424.26313389388866</v>
      </c>
      <c r="J141" s="1295">
        <f t="shared" si="53"/>
        <v>12.019369527266241</v>
      </c>
      <c r="K141" s="1296">
        <f t="shared" si="41"/>
        <v>30470.15401312519</v>
      </c>
      <c r="L141" s="1296">
        <f t="shared" si="54"/>
        <v>80104.579966553254</v>
      </c>
      <c r="M141" s="1297">
        <f t="shared" si="55"/>
        <v>80104.579966553254</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72.265000000000001</v>
      </c>
      <c r="C142" s="1660">
        <f>INDEX(Drivers!$A$16:$AM$16,1,$A142-2011)</f>
        <v>5188.1000000000004</v>
      </c>
      <c r="D142" s="1661">
        <f>INDEX(Drivers!$A$25:$AM$25,1,$A142-2011)/INDEX(Drivers!$A$25:$AM$25,1,$A142-2012)*D141</f>
        <v>18383718.586317491</v>
      </c>
      <c r="E142" s="762">
        <f t="shared" si="52"/>
        <v>18383718.586317491</v>
      </c>
      <c r="F142" s="1122"/>
      <c r="G142" s="1122"/>
      <c r="H142" s="1123"/>
      <c r="I142" s="1294">
        <f t="shared" si="51"/>
        <v>424.26313389388866</v>
      </c>
      <c r="J142" s="1295">
        <f t="shared" si="53"/>
        <v>12.019369527266241</v>
      </c>
      <c r="K142" s="1296">
        <f t="shared" si="41"/>
        <v>30659.375370841866</v>
      </c>
      <c r="L142" s="1296">
        <f t="shared" si="54"/>
        <v>80741.409630727474</v>
      </c>
      <c r="M142" s="1297">
        <f t="shared" si="55"/>
        <v>80741.409630727474</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72.713999999999999</v>
      </c>
      <c r="C143" s="1660">
        <f>INDEX(Drivers!$A$16:$AM$16,1,$A143-2011)</f>
        <v>5353.7899999999991</v>
      </c>
      <c r="D143" s="1661">
        <f>INDEX(Drivers!$A$25:$AM$25,1,$A143-2011)/INDEX(Drivers!$A$25:$AM$25,1,$A143-2012)*D142</f>
        <v>17102737.64872111</v>
      </c>
      <c r="E143" s="762">
        <f t="shared" si="52"/>
        <v>17102737.64872111</v>
      </c>
      <c r="F143" s="1122"/>
      <c r="G143" s="1122"/>
      <c r="H143" s="1123"/>
      <c r="I143" s="1294">
        <f t="shared" si="51"/>
        <v>424.26313389388866</v>
      </c>
      <c r="J143" s="1295">
        <f t="shared" si="53"/>
        <v>12.019369527266241</v>
      </c>
      <c r="K143" s="1296">
        <f t="shared" si="41"/>
        <v>30849.869517960218</v>
      </c>
      <c r="L143" s="1296">
        <f t="shared" si="54"/>
        <v>81451.918030103829</v>
      </c>
      <c r="M143" s="1297">
        <f t="shared" si="55"/>
        <v>81451.918030103829</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73.165000000000006</v>
      </c>
      <c r="C144" s="1660">
        <f>INDEX(Drivers!$A$16:$AM$16,1,$A144-2011)</f>
        <v>5526.5000000000018</v>
      </c>
      <c r="D144" s="1661">
        <f>INDEX(Drivers!$A$25:$AM$25,1,$A144-2011)/INDEX(Drivers!$A$25:$AM$25,1,$A144-2012)*D143</f>
        <v>15821756.711124728</v>
      </c>
      <c r="E144" s="762">
        <f t="shared" si="52"/>
        <v>15821756.711124728</v>
      </c>
      <c r="F144" s="1122"/>
      <c r="G144" s="1122"/>
      <c r="H144" s="1123"/>
      <c r="I144" s="1294">
        <f t="shared" si="51"/>
        <v>424.26313389388866</v>
      </c>
      <c r="J144" s="1295">
        <f t="shared" si="53"/>
        <v>12.019369527266241</v>
      </c>
      <c r="K144" s="1296">
        <f t="shared" si="41"/>
        <v>31041.212191346367</v>
      </c>
      <c r="L144" s="1296">
        <f t="shared" si="54"/>
        <v>82246.80240356164</v>
      </c>
      <c r="M144" s="1297">
        <f t="shared" si="55"/>
        <v>82246.80240356164</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73.62</v>
      </c>
      <c r="C145" s="1660">
        <f>INDEX(Drivers!$A$16:$AM$16,1,$A145-2011)</f>
        <v>5709.93</v>
      </c>
      <c r="D145" s="1661">
        <f>INDEX(Drivers!$A$25:$AM$25,1,$A145-2011)/INDEX(Drivers!$A$25:$AM$25,1,$A145-2012)*D144</f>
        <v>14540775.773528345</v>
      </c>
      <c r="E145" s="762">
        <f t="shared" si="52"/>
        <v>14540775.773528345</v>
      </c>
      <c r="F145" s="1122"/>
      <c r="G145" s="1122"/>
      <c r="H145" s="1123"/>
      <c r="I145" s="1294">
        <f t="shared" si="51"/>
        <v>424.26313389388866</v>
      </c>
      <c r="J145" s="1295">
        <f t="shared" si="53"/>
        <v>12.019369527266241</v>
      </c>
      <c r="K145" s="1296">
        <f t="shared" si="41"/>
        <v>31234.251917268084</v>
      </c>
      <c r="L145" s="1296">
        <f t="shared" si="54"/>
        <v>83170.534418351686</v>
      </c>
      <c r="M145" s="1297">
        <f t="shared" si="55"/>
        <v>83170.534418351686</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73.995000000000005</v>
      </c>
      <c r="C146" s="1660">
        <f>INDEX(Drivers!$A$16:$AM$16,1,$A146-2011)</f>
        <v>5902.43</v>
      </c>
      <c r="D146" s="1661">
        <f>INDEX(Drivers!$A$25:$AM$25,1,$A146-2011)/INDEX(Drivers!$A$25:$AM$25,1,$A146-2012)*D145</f>
        <v>13259794.835931966</v>
      </c>
      <c r="E146" s="762">
        <f t="shared" si="52"/>
        <v>13259794.835931966</v>
      </c>
      <c r="F146" s="1122"/>
      <c r="G146" s="1122"/>
      <c r="H146" s="1123"/>
      <c r="I146" s="1294">
        <f t="shared" si="51"/>
        <v>424.26313389388866</v>
      </c>
      <c r="J146" s="1295">
        <f t="shared" si="53"/>
        <v>12.019369527266241</v>
      </c>
      <c r="K146" s="1296">
        <f t="shared" si="41"/>
        <v>31393.350592478295</v>
      </c>
      <c r="L146" s="1296">
        <f t="shared" si="54"/>
        <v>84203.282114754053</v>
      </c>
      <c r="M146" s="1297">
        <f t="shared" si="55"/>
        <v>84203.282114754053</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74.373000000000005</v>
      </c>
      <c r="C147" s="1660">
        <f>INDEX(Drivers!$A$16:$AM$16,1,$A147-2011)</f>
        <v>6104.119999999999</v>
      </c>
      <c r="D147" s="1661">
        <f>INDEX(Drivers!$A$25:$AM$25,1,$A147-2011)/INDEX(Drivers!$A$25:$AM$25,1,$A147-2012)*D146</f>
        <v>11978813.898335585</v>
      </c>
      <c r="E147" s="762">
        <f t="shared" si="52"/>
        <v>11978813.898335585</v>
      </c>
      <c r="F147" s="1122"/>
      <c r="G147" s="1122"/>
      <c r="H147" s="1123"/>
      <c r="I147" s="1294">
        <f t="shared" si="51"/>
        <v>424.26313389388866</v>
      </c>
      <c r="J147" s="1295">
        <f t="shared" si="53"/>
        <v>12.019369527266241</v>
      </c>
      <c r="K147" s="1296">
        <f t="shared" si="41"/>
        <v>31553.722057090185</v>
      </c>
      <c r="L147" s="1296">
        <f t="shared" si="54"/>
        <v>85346.487817111978</v>
      </c>
      <c r="M147" s="1297">
        <f t="shared" si="55"/>
        <v>85346.487817111978</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74.753</v>
      </c>
      <c r="C148" s="1660">
        <f>INDEX(Drivers!$A$16:$AM$16,1,$A148-2011)</f>
        <v>6308.13</v>
      </c>
      <c r="D148" s="1661">
        <f>INDEX(Drivers!$A$25:$AM$25,1,$A148-2011)/INDEX(Drivers!$A$25:$AM$25,1,$A148-2012)*D147</f>
        <v>10697832.960739207</v>
      </c>
      <c r="E148" s="762">
        <f t="shared" si="52"/>
        <v>10697832.960739207</v>
      </c>
      <c r="F148" s="1122"/>
      <c r="G148" s="1122"/>
      <c r="H148" s="1123"/>
      <c r="I148" s="1294">
        <f t="shared" si="51"/>
        <v>424.26313389388866</v>
      </c>
      <c r="J148" s="1295">
        <f t="shared" si="53"/>
        <v>12.019369527266241</v>
      </c>
      <c r="K148" s="1296">
        <f t="shared" si="41"/>
        <v>31714.94204796986</v>
      </c>
      <c r="L148" s="1296">
        <f t="shared" si="54"/>
        <v>86517.578456773204</v>
      </c>
      <c r="M148" s="1297">
        <f t="shared" si="55"/>
        <v>86517.578456773204</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v>
      </c>
      <c r="C149" s="1660">
        <f>INDEX(Drivers!$A$16:$AM$16,1,$A149-2011)</f>
        <v>6522.2000000000007</v>
      </c>
      <c r="D149" s="1661">
        <f>INDEX(Drivers!$A$25:$AM$25,1,$A149-2011)/INDEX(Drivers!$A$25:$AM$25,1,$A149-2012)*D148</f>
        <v>9416852.0231428221</v>
      </c>
      <c r="E149" s="762">
        <f t="shared" si="52"/>
        <v>9416852.0231428221</v>
      </c>
      <c r="F149" s="1122"/>
      <c r="G149" s="1122"/>
      <c r="H149" s="1123"/>
      <c r="I149" s="1294">
        <f t="shared" si="51"/>
        <v>424.26313389388866</v>
      </c>
      <c r="J149" s="1295">
        <f t="shared" si="53"/>
        <v>12.019369527266241</v>
      </c>
      <c r="K149" s="1296">
        <f t="shared" si="41"/>
        <v>31876.586301983432</v>
      </c>
      <c r="L149" s="1296">
        <f t="shared" si="54"/>
        <v>87809.583953878711</v>
      </c>
      <c r="M149" s="1297">
        <f t="shared" si="55"/>
        <v>87809.583953878711</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2" thickBot="1">
      <c r="A150" s="758">
        <f t="shared" si="56"/>
        <v>2050</v>
      </c>
      <c r="B150" s="1662">
        <f>INDEX(Drivers!$A$8:$AM$8,1,$A150-2011)/1000</f>
        <v>75.518000000000001</v>
      </c>
      <c r="C150" s="1663">
        <f>INDEX(Drivers!$A$16:$AM$16,1,$A150-2011)</f>
        <v>6747.1300000000019</v>
      </c>
      <c r="D150" s="1664">
        <f>INDEX(Drivers!$A$25:$AM$25,1,$A150-2011)/INDEX(Drivers!$A$25:$AM$25,1,$A150-2012)*D149</f>
        <v>8135871.0855464395</v>
      </c>
      <c r="E150" s="762">
        <f t="shared" si="52"/>
        <v>8135871.0855464395</v>
      </c>
      <c r="F150" s="1124"/>
      <c r="G150" s="1124"/>
      <c r="H150" s="1125"/>
      <c r="I150" s="1300">
        <f t="shared" si="51"/>
        <v>424.26313389388866</v>
      </c>
      <c r="J150" s="1301">
        <f t="shared" si="53"/>
        <v>12.019369527266241</v>
      </c>
      <c r="K150" s="1302">
        <f t="shared" si="41"/>
        <v>32039.503345398683</v>
      </c>
      <c r="L150" s="1302">
        <f t="shared" si="54"/>
        <v>89232.119804050337</v>
      </c>
      <c r="M150" s="1303">
        <f t="shared" si="55"/>
        <v>89232.119804050337</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317"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357" customWidth="1"/>
    <col min="36" max="37" width="14.6640625" customWidth="1"/>
    <col min="38" max="38" width="12.5546875" customWidth="1"/>
    <col min="39" max="39" width="12.6640625" customWidth="1"/>
    <col min="40" max="40" width="14.44140625" customWidth="1"/>
    <col min="41" max="41" width="18.44140625" style="395" customWidth="1"/>
    <col min="42" max="43" width="14.6640625" customWidth="1"/>
    <col min="44" max="44" width="12.5546875" customWidth="1"/>
    <col min="45" max="45" width="12.33203125" customWidth="1"/>
    <col min="46" max="46" width="10.88671875" customWidth="1"/>
    <col min="47" max="47" width="16.44140625" style="395" customWidth="1"/>
    <col min="48" max="48" width="12.6640625" customWidth="1"/>
    <col min="50" max="50" width="13.44140625" customWidth="1"/>
    <col min="51" max="51" width="11.33203125" customWidth="1"/>
    <col min="52" max="52" width="12.6640625" customWidth="1"/>
    <col min="53" max="53" width="21.6640625" style="357" customWidth="1"/>
    <col min="54" max="54" width="11.44140625" customWidth="1"/>
    <col min="58" max="58" width="12.6640625" customWidth="1"/>
    <col min="59" max="59" width="20.6640625" style="357"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767" t="s">
        <v>665</v>
      </c>
      <c r="X3" s="1768"/>
      <c r="Y3" s="1768"/>
      <c r="Z3" s="1768"/>
      <c r="AA3" s="1768"/>
      <c r="AB3" s="1768"/>
      <c r="AC3" s="1768"/>
      <c r="AD3" s="1769"/>
      <c r="AE3" s="1" t="s">
        <v>789</v>
      </c>
    </row>
    <row r="4" spans="1:16381" ht="15" thickBot="1"/>
    <row r="5" spans="1:16381" ht="16.2" customHeight="1" thickBot="1">
      <c r="C5" s="1770" t="s">
        <v>294</v>
      </c>
      <c r="D5" s="1771"/>
      <c r="E5" s="1771"/>
      <c r="F5" s="1771"/>
      <c r="G5" s="1771"/>
      <c r="H5" s="1771"/>
      <c r="I5" s="1771"/>
      <c r="J5" s="1771"/>
      <c r="K5" s="1772"/>
      <c r="L5" s="1737" t="s">
        <v>516</v>
      </c>
      <c r="M5" s="1738"/>
      <c r="N5" s="1738"/>
      <c r="O5" s="1738"/>
      <c r="P5" s="1739"/>
      <c r="Q5" s="1743" t="s">
        <v>518</v>
      </c>
      <c r="R5" s="1744"/>
      <c r="S5" s="1744"/>
      <c r="T5" s="1744"/>
      <c r="U5" s="1745"/>
      <c r="W5" s="736"/>
      <c r="X5" s="1775" t="s">
        <v>643</v>
      </c>
      <c r="Y5" s="1776"/>
      <c r="Z5" s="1776"/>
      <c r="AA5" s="1776"/>
      <c r="AB5" s="1777"/>
      <c r="AC5" s="115"/>
      <c r="AD5" s="1748" t="s">
        <v>641</v>
      </c>
      <c r="AE5" s="1749"/>
      <c r="AF5" s="1749"/>
      <c r="AG5" s="1749"/>
      <c r="AH5" s="1750"/>
      <c r="AI5" s="1636"/>
      <c r="AJ5" s="1748" t="s">
        <v>645</v>
      </c>
      <c r="AK5" s="1749"/>
      <c r="AL5" s="1749"/>
      <c r="AM5" s="1749"/>
      <c r="AN5" s="1750"/>
      <c r="AO5" s="1692"/>
      <c r="AP5" s="1748" t="s">
        <v>649</v>
      </c>
      <c r="AQ5" s="1749"/>
      <c r="AR5" s="1749"/>
      <c r="AS5" s="1749"/>
      <c r="AT5" s="1750"/>
      <c r="AU5" s="1692"/>
      <c r="AV5" s="1748" t="s">
        <v>659</v>
      </c>
      <c r="AW5" s="1749"/>
      <c r="AX5" s="1749"/>
      <c r="AY5" s="1749"/>
      <c r="AZ5" s="1750"/>
      <c r="BA5" s="1636"/>
      <c r="BB5" s="1748" t="s">
        <v>655</v>
      </c>
      <c r="BC5" s="1749"/>
      <c r="BD5" s="1749"/>
      <c r="BE5" s="1749"/>
      <c r="BF5" s="1750"/>
      <c r="BH5" s="1751" t="s">
        <v>217</v>
      </c>
      <c r="BI5" s="1725" t="s">
        <v>635</v>
      </c>
      <c r="BJ5" s="1726"/>
      <c r="BK5" s="1727"/>
      <c r="BL5" s="1726" t="s">
        <v>638</v>
      </c>
      <c r="BM5" s="1726"/>
      <c r="BN5" s="1727"/>
      <c r="BO5" s="1725" t="s">
        <v>646</v>
      </c>
      <c r="BP5" s="1726"/>
      <c r="BQ5" s="1726"/>
      <c r="BR5" s="1725" t="s">
        <v>650</v>
      </c>
      <c r="BS5" s="1726"/>
      <c r="BT5" s="1727"/>
      <c r="BU5" s="1725" t="s">
        <v>660</v>
      </c>
      <c r="BV5" s="1726"/>
      <c r="BW5" s="1727"/>
      <c r="BX5" s="1725" t="s">
        <v>656</v>
      </c>
      <c r="BY5" s="1726"/>
      <c r="BZ5" s="1727"/>
      <c r="CB5" s="1725" t="s">
        <v>803</v>
      </c>
      <c r="CC5" s="1726"/>
      <c r="CD5" s="1726"/>
      <c r="CE5" s="1727"/>
      <c r="CF5" s="1725" t="s">
        <v>803</v>
      </c>
      <c r="CG5" s="1726"/>
      <c r="CH5" s="1726"/>
      <c r="CI5" s="1727"/>
      <c r="CJ5" s="1725" t="s">
        <v>803</v>
      </c>
      <c r="CK5" s="1726"/>
      <c r="CL5" s="1726"/>
      <c r="CM5" s="1727"/>
    </row>
    <row r="6" spans="1:16381" ht="16.2" customHeight="1" thickBot="1">
      <c r="A6" s="1754" t="s">
        <v>217</v>
      </c>
      <c r="B6" s="1762" t="s">
        <v>292</v>
      </c>
      <c r="C6" s="306" t="s">
        <v>187</v>
      </c>
      <c r="D6" s="1764" t="s">
        <v>194</v>
      </c>
      <c r="E6" s="1765"/>
      <c r="F6" s="1766"/>
      <c r="G6" s="1764" t="s">
        <v>189</v>
      </c>
      <c r="H6" s="1765"/>
      <c r="I6" s="1766"/>
      <c r="J6" s="1764" t="s">
        <v>192</v>
      </c>
      <c r="K6" s="1766"/>
      <c r="L6" s="507" t="s">
        <v>187</v>
      </c>
      <c r="M6" s="1746" t="s">
        <v>194</v>
      </c>
      <c r="N6" s="1747"/>
      <c r="O6" s="505" t="s">
        <v>189</v>
      </c>
      <c r="P6" s="510" t="s">
        <v>514</v>
      </c>
      <c r="Q6" s="509" t="s">
        <v>187</v>
      </c>
      <c r="R6" s="512" t="s">
        <v>194</v>
      </c>
      <c r="S6" s="512" t="s">
        <v>513</v>
      </c>
      <c r="T6" s="512" t="s">
        <v>517</v>
      </c>
      <c r="U6" s="513">
        <v>4</v>
      </c>
      <c r="W6" s="1773"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2"/>
      <c r="BI6" s="1731"/>
      <c r="BJ6" s="1732"/>
      <c r="BK6" s="1733"/>
      <c r="BL6" s="1732"/>
      <c r="BM6" s="1732"/>
      <c r="BN6" s="1733"/>
      <c r="BO6" s="1731"/>
      <c r="BP6" s="1732"/>
      <c r="BQ6" s="1732"/>
      <c r="BR6" s="1731"/>
      <c r="BS6" s="1732"/>
      <c r="BT6" s="1733"/>
      <c r="BU6" s="1731"/>
      <c r="BV6" s="1732"/>
      <c r="BW6" s="1733"/>
      <c r="BX6" s="1731"/>
      <c r="BY6" s="1732"/>
      <c r="BZ6" s="1733"/>
      <c r="CB6" s="1728"/>
      <c r="CC6" s="1729"/>
      <c r="CD6" s="1729"/>
      <c r="CE6" s="1730"/>
      <c r="CF6" s="1728"/>
      <c r="CG6" s="1729"/>
      <c r="CH6" s="1729"/>
      <c r="CI6" s="1730"/>
      <c r="CJ6" s="1728"/>
      <c r="CK6" s="1729"/>
      <c r="CL6" s="1729"/>
      <c r="CM6" s="1730"/>
    </row>
    <row r="7" spans="1:16381" ht="87" thickBot="1">
      <c r="A7" s="1755"/>
      <c r="B7" s="1763"/>
      <c r="C7" s="502" t="s">
        <v>233</v>
      </c>
      <c r="D7" s="503" t="s">
        <v>234</v>
      </c>
      <c r="E7" s="1758" t="s">
        <v>176</v>
      </c>
      <c r="F7" s="1759"/>
      <c r="G7" s="1757" t="s">
        <v>284</v>
      </c>
      <c r="H7" s="1758"/>
      <c r="I7" s="1759"/>
      <c r="J7" s="1760" t="s">
        <v>193</v>
      </c>
      <c r="K7" s="1761"/>
      <c r="L7" s="508" t="s">
        <v>233</v>
      </c>
      <c r="M7" s="506" t="s">
        <v>234</v>
      </c>
      <c r="N7" s="506" t="s">
        <v>176</v>
      </c>
      <c r="O7" s="506" t="s">
        <v>284</v>
      </c>
      <c r="P7" s="511" t="s">
        <v>193</v>
      </c>
      <c r="Q7" s="509" t="s">
        <v>233</v>
      </c>
      <c r="R7" s="512" t="s">
        <v>512</v>
      </c>
      <c r="S7" s="512" t="s">
        <v>38</v>
      </c>
      <c r="T7" s="512" t="s">
        <v>193</v>
      </c>
      <c r="U7" s="513" t="s">
        <v>627</v>
      </c>
      <c r="W7" s="1774"/>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2"/>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 thickBot="1">
      <c r="A8" s="1756"/>
      <c r="B8" s="307" t="s">
        <v>293</v>
      </c>
      <c r="C8" s="307" t="s">
        <v>188</v>
      </c>
      <c r="D8" s="308" t="s">
        <v>188</v>
      </c>
      <c r="E8" s="309" t="s">
        <v>188</v>
      </c>
      <c r="F8" s="310" t="s">
        <v>191</v>
      </c>
      <c r="G8" s="311" t="s">
        <v>190</v>
      </c>
      <c r="H8" s="309" t="s">
        <v>188</v>
      </c>
      <c r="I8" s="310" t="s">
        <v>191</v>
      </c>
      <c r="J8" s="985" t="s">
        <v>188</v>
      </c>
      <c r="K8" s="504" t="s">
        <v>191</v>
      </c>
      <c r="L8" s="1734" t="s">
        <v>515</v>
      </c>
      <c r="M8" s="1735"/>
      <c r="N8" s="1735"/>
      <c r="O8" s="1735"/>
      <c r="P8" s="1736"/>
      <c r="Q8" s="1740" t="s">
        <v>515</v>
      </c>
      <c r="R8" s="1741"/>
      <c r="S8" s="1741"/>
      <c r="T8" s="1741"/>
      <c r="U8" s="1742"/>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3"/>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747.20394806508398</v>
      </c>
      <c r="D10" s="515">
        <f>'4B Biological treatment '!T63</f>
        <v>0</v>
      </c>
      <c r="E10" s="472">
        <f>'4B Biological treatment '!U63</f>
        <v>8.0183470293169297</v>
      </c>
      <c r="F10" s="472">
        <f>'4B Biological treatment '!W63</f>
        <v>0.48110082175901581</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15691.282909366764</v>
      </c>
      <c r="M10" s="515">
        <f t="shared" ref="M10:M25" si="0">D10*$B$3</f>
        <v>0</v>
      </c>
      <c r="N10" s="471">
        <f>E10*$B$3+F10*$C$3</f>
        <v>317.52654236095043</v>
      </c>
      <c r="O10" s="514">
        <f>G10+H10*$B$3+I10*$C$3</f>
        <v>252.83335953932928</v>
      </c>
      <c r="P10" s="471">
        <f>J10*$B$3+K10*$C$3</f>
        <v>2831.8730929925982</v>
      </c>
      <c r="Q10" s="471">
        <f>L10</f>
        <v>15691.282909366764</v>
      </c>
      <c r="R10" s="516">
        <f>M10+N10</f>
        <v>317.52654236095043</v>
      </c>
      <c r="S10" s="514">
        <f>O10</f>
        <v>252.83335953932928</v>
      </c>
      <c r="T10" s="471">
        <f>P10</f>
        <v>2831.8730929925982</v>
      </c>
      <c r="U10" s="471">
        <f>SUM(Q10:T10)</f>
        <v>19093.515904259642</v>
      </c>
      <c r="V10" s="515"/>
      <c r="W10" s="596">
        <f>A10</f>
        <v>2000</v>
      </c>
      <c r="X10" s="1101">
        <f>Q10</f>
        <v>15691.282909366764</v>
      </c>
      <c r="Y10" s="1102">
        <f t="shared" ref="Y10:AA10" si="1">R10</f>
        <v>317.52654236095043</v>
      </c>
      <c r="Z10" s="1102">
        <f t="shared" si="1"/>
        <v>252.83335953932928</v>
      </c>
      <c r="AA10" s="1102">
        <f t="shared" si="1"/>
        <v>2831.8730929925982</v>
      </c>
      <c r="AB10" s="1144">
        <f>SUM(X10:AA10)</f>
        <v>19093.515904259642</v>
      </c>
      <c r="AC10" s="1102"/>
      <c r="AD10" s="1101">
        <f>Q10</f>
        <v>15691.282909366764</v>
      </c>
      <c r="AE10" s="1102">
        <f t="shared" ref="AE10:AG10" si="2">R10</f>
        <v>317.52654236095043</v>
      </c>
      <c r="AF10" s="1102">
        <f t="shared" si="2"/>
        <v>252.83335953932928</v>
      </c>
      <c r="AG10" s="1102">
        <f t="shared" si="2"/>
        <v>2831.8730929925982</v>
      </c>
      <c r="AH10" s="1144">
        <f>SUM(AD10:AG10)</f>
        <v>19093.515904259642</v>
      </c>
      <c r="AI10" s="1423"/>
      <c r="AJ10" s="1101">
        <f>Q10</f>
        <v>15691.282909366764</v>
      </c>
      <c r="AK10" s="1102">
        <f t="shared" ref="AK10:AM10" si="3">R10</f>
        <v>317.52654236095043</v>
      </c>
      <c r="AL10" s="1102">
        <f t="shared" si="3"/>
        <v>252.83335953932928</v>
      </c>
      <c r="AM10" s="1102">
        <f t="shared" si="3"/>
        <v>2831.8730929925982</v>
      </c>
      <c r="AN10" s="1144">
        <f>SUM(AJ10:AM10)</f>
        <v>19093.515904259642</v>
      </c>
      <c r="AO10" s="1420"/>
      <c r="AP10" s="1101">
        <f>Q10</f>
        <v>15691.282909366764</v>
      </c>
      <c r="AQ10" s="1102">
        <f t="shared" ref="AQ10:AS10" si="4">R10</f>
        <v>317.52654236095043</v>
      </c>
      <c r="AR10" s="1102">
        <f t="shared" si="4"/>
        <v>252.83335953932928</v>
      </c>
      <c r="AS10" s="1102">
        <f t="shared" si="4"/>
        <v>2831.8730929925982</v>
      </c>
      <c r="AT10" s="1144">
        <f>SUM(AP10:AS10)</f>
        <v>19093.515904259642</v>
      </c>
      <c r="AU10" s="1416"/>
      <c r="AV10" s="1101">
        <f>X10</f>
        <v>15691.282909366764</v>
      </c>
      <c r="AW10" s="1102">
        <f>Y10</f>
        <v>317.52654236095043</v>
      </c>
      <c r="AX10" s="1102">
        <f>Z10</f>
        <v>252.83335953932928</v>
      </c>
      <c r="AY10" s="1102">
        <f>AA10</f>
        <v>2831.8730929925982</v>
      </c>
      <c r="AZ10" s="1144">
        <f>SUM(AV10:AY10)</f>
        <v>19093.515904259642</v>
      </c>
      <c r="BA10" s="1426"/>
      <c r="BB10" s="1101">
        <f>Q10</f>
        <v>15691.282909366764</v>
      </c>
      <c r="BC10" s="1102">
        <f t="shared" ref="BC10:BE10" si="5">R10</f>
        <v>317.52654236095043</v>
      </c>
      <c r="BD10" s="1102">
        <f t="shared" si="5"/>
        <v>252.83335953932928</v>
      </c>
      <c r="BE10" s="1102">
        <f t="shared" si="5"/>
        <v>2831.8730929925982</v>
      </c>
      <c r="BF10" s="1144">
        <f>SUM(BB10:BE10)</f>
        <v>19093.515904259642</v>
      </c>
      <c r="BG10" s="1428"/>
      <c r="BH10" s="596">
        <f>W10</f>
        <v>2000</v>
      </c>
      <c r="BI10" s="1102">
        <f>'Baseline data (from input)'!AZ56</f>
        <v>80.135213959569853</v>
      </c>
      <c r="BJ10" s="576">
        <f>'Baseline data (from input)'!BA56</f>
        <v>0.14225775036706395</v>
      </c>
      <c r="BK10" s="1103"/>
      <c r="BL10" s="1101">
        <f>BI10</f>
        <v>80.135213959569853</v>
      </c>
      <c r="BM10" s="576">
        <f>BJ10</f>
        <v>0.14225775036706395</v>
      </c>
      <c r="BN10" s="1103"/>
      <c r="BO10" s="1102">
        <f t="shared" ref="BO10:BP26" si="6">BI10</f>
        <v>80.135213959569853</v>
      </c>
      <c r="BP10" s="417">
        <f t="shared" si="6"/>
        <v>0.14225775036706395</v>
      </c>
      <c r="BQ10" s="1103"/>
      <c r="BR10" s="1101">
        <f>'Baseline data (from input)'!AZ56</f>
        <v>80.135213959569853</v>
      </c>
      <c r="BS10" s="417">
        <f>'Baseline data (from input)'!BA56</f>
        <v>0.14225775036706395</v>
      </c>
      <c r="BT10" s="1103"/>
      <c r="BU10" s="1102">
        <f t="shared" ref="BU10:BV26" si="7">BI10</f>
        <v>80.135213959569853</v>
      </c>
      <c r="BV10" s="417">
        <f t="shared" si="7"/>
        <v>0.14225775036706395</v>
      </c>
      <c r="BW10" s="1103"/>
      <c r="BX10" s="1101">
        <f>BU10</f>
        <v>80.135213959569853</v>
      </c>
      <c r="BY10" s="417">
        <f>BV10</f>
        <v>0.14225775036706395</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16186.706940010718</v>
      </c>
      <c r="M11" s="3">
        <f t="shared" si="0"/>
        <v>0</v>
      </c>
      <c r="N11" s="419">
        <f t="shared" ref="N11:N27" si="9">E11*$B$3+F11*$C$3</f>
        <v>325.15338933708335</v>
      </c>
      <c r="O11" s="518">
        <f t="shared" ref="O11:O27" si="10">G11+H11*$B$3+I11*$C$3</f>
        <v>258.06241311161995</v>
      </c>
      <c r="P11" s="419">
        <f t="shared" ref="P11:P27" si="11">J11*$B$3+K11*$C$3</f>
        <v>2890.4413774158538</v>
      </c>
      <c r="Q11" s="519">
        <f t="shared" ref="Q11:Q27" si="12">L11</f>
        <v>16186.706940010718</v>
      </c>
      <c r="R11" s="520">
        <f t="shared" ref="R11:R27" si="13">M11+N11</f>
        <v>325.15338933708335</v>
      </c>
      <c r="S11" s="518">
        <f t="shared" ref="S11:S27" si="14">O11</f>
        <v>258.06241311161995</v>
      </c>
      <c r="T11" s="519">
        <f t="shared" ref="T11:T27" si="15">P11</f>
        <v>2890.4413774158538</v>
      </c>
      <c r="U11" s="519">
        <f t="shared" ref="U11:U27" si="16">SUM(Q11:T11)</f>
        <v>19660.364119875274</v>
      </c>
      <c r="V11" s="3"/>
      <c r="W11" s="596">
        <f t="shared" ref="W11:W27" si="17">A11</f>
        <v>2001</v>
      </c>
      <c r="X11" s="1101">
        <f t="shared" ref="X11:X27" si="18">Q11</f>
        <v>16186.706940010718</v>
      </c>
      <c r="Y11" s="1102">
        <f t="shared" ref="Y11:Y27" si="19">R11</f>
        <v>325.15338933708335</v>
      </c>
      <c r="Z11" s="1102">
        <f t="shared" ref="Z11:Z27" si="20">S11</f>
        <v>258.06241311161995</v>
      </c>
      <c r="AA11" s="1102">
        <f t="shared" ref="AA11:AA27" si="21">T11</f>
        <v>2890.4413774158538</v>
      </c>
      <c r="AB11" s="1144">
        <f t="shared" ref="AB11:AB60" si="22">SUM(X11:AA11)</f>
        <v>19660.364119875274</v>
      </c>
      <c r="AC11" s="1102"/>
      <c r="AD11" s="1101">
        <f t="shared" ref="AD11:AD26" si="23">Q11</f>
        <v>16186.706940010718</v>
      </c>
      <c r="AE11" s="1102">
        <f t="shared" ref="AE11:AE27" si="24">R11</f>
        <v>325.15338933708335</v>
      </c>
      <c r="AF11" s="1102">
        <f t="shared" ref="AF11:AF27" si="25">S11</f>
        <v>258.06241311161995</v>
      </c>
      <c r="AG11" s="1102">
        <f t="shared" ref="AG11:AG27" si="26">T11</f>
        <v>2890.4413774158538</v>
      </c>
      <c r="AH11" s="1144">
        <f t="shared" ref="AH11:AH26" si="27">SUM(AD11:AG11)</f>
        <v>19660.364119875274</v>
      </c>
      <c r="AI11" s="1424"/>
      <c r="AJ11" s="1101">
        <f t="shared" ref="AJ11:AJ27" si="28">X11</f>
        <v>16186.706940010718</v>
      </c>
      <c r="AK11" s="1102">
        <f t="shared" ref="AK11:AK27" si="29">Y11</f>
        <v>325.15338933708335</v>
      </c>
      <c r="AL11" s="1102">
        <f t="shared" ref="AL11:AL27" si="30">Z11</f>
        <v>258.06241311161995</v>
      </c>
      <c r="AM11" s="1102">
        <f t="shared" ref="AM11:AM27" si="31">AA11</f>
        <v>2890.4413774158538</v>
      </c>
      <c r="AN11" s="1144">
        <f t="shared" ref="AN11:AN27" si="32">AB11</f>
        <v>19660.364119875274</v>
      </c>
      <c r="AO11" s="1421"/>
      <c r="AP11" s="1101">
        <f t="shared" ref="AP11:AP26" si="33">Q11</f>
        <v>16186.706940010718</v>
      </c>
      <c r="AQ11" s="1102">
        <f t="shared" ref="AQ11:AQ26" si="34">R11</f>
        <v>325.15338933708335</v>
      </c>
      <c r="AR11" s="1102">
        <f t="shared" ref="AR11:AR26" si="35">S11</f>
        <v>258.06241311161995</v>
      </c>
      <c r="AS11" s="1102">
        <f t="shared" ref="AS11:AS26" si="36">T11</f>
        <v>2890.4413774158538</v>
      </c>
      <c r="AT11" s="1144">
        <f t="shared" ref="AT11:AT60" si="37">SUM(AP11:AS11)</f>
        <v>19660.364119875274</v>
      </c>
      <c r="AU11" s="1416"/>
      <c r="AV11" s="1101">
        <f t="shared" ref="AV11:AV27" si="38">X11</f>
        <v>16186.706940010718</v>
      </c>
      <c r="AW11" s="1102">
        <f t="shared" ref="AW11:AW27" si="39">Y11</f>
        <v>325.15338933708335</v>
      </c>
      <c r="AX11" s="1102">
        <f t="shared" ref="AX11:AX27" si="40">Z11</f>
        <v>258.06241311161995</v>
      </c>
      <c r="AY11" s="1102">
        <f t="shared" ref="AY11:AY27" si="41">AA11</f>
        <v>2890.4413774158538</v>
      </c>
      <c r="AZ11" s="1144">
        <f t="shared" ref="AZ11:AZ27" si="42">AB11</f>
        <v>19660.364119875274</v>
      </c>
      <c r="BA11" s="1426"/>
      <c r="BB11" s="1101">
        <f t="shared" ref="BB11:BB27" si="43">Q11</f>
        <v>16186.706940010718</v>
      </c>
      <c r="BC11" s="1102">
        <f t="shared" ref="BC11:BC27" si="44">R11</f>
        <v>325.15338933708335</v>
      </c>
      <c r="BD11" s="1102">
        <f t="shared" ref="BD11:BD27" si="45">S11</f>
        <v>258.06241311161995</v>
      </c>
      <c r="BE11" s="1102">
        <f t="shared" ref="BE11:BE27" si="46">T11</f>
        <v>2890.4413774158538</v>
      </c>
      <c r="BF11" s="1144">
        <f t="shared" ref="BF11:BF60" si="47">SUM(BB11:BE11)</f>
        <v>19660.364119875274</v>
      </c>
      <c r="BG11" s="1429"/>
      <c r="BH11" s="596">
        <f t="shared" ref="BH11:BH60" si="48">W11</f>
        <v>2001</v>
      </c>
      <c r="BI11" s="1102">
        <f>'Baseline data (from input)'!AZ57</f>
        <v>82.13797482619772</v>
      </c>
      <c r="BJ11" s="576">
        <f>'Baseline data (from input)'!BA57</f>
        <v>0.14214464928333989</v>
      </c>
      <c r="BK11" s="1103"/>
      <c r="BL11" s="1101">
        <f t="shared" ref="BL11:BL26" si="49">BI11</f>
        <v>82.13797482619772</v>
      </c>
      <c r="BM11" s="576">
        <f t="shared" ref="BM11:BM26" si="50">BJ11</f>
        <v>0.14214464928333989</v>
      </c>
      <c r="BN11" s="1103"/>
      <c r="BO11" s="1102">
        <f t="shared" si="6"/>
        <v>82.13797482619772</v>
      </c>
      <c r="BP11" s="417">
        <f t="shared" si="6"/>
        <v>0.14214464928333989</v>
      </c>
      <c r="BQ11" s="1103"/>
      <c r="BR11" s="1101">
        <f>'Baseline data (from input)'!AZ57</f>
        <v>82.13797482619772</v>
      </c>
      <c r="BS11" s="417">
        <f>'Baseline data (from input)'!BA57</f>
        <v>0.14214464928333989</v>
      </c>
      <c r="BT11" s="1103"/>
      <c r="BU11" s="1102">
        <f t="shared" si="7"/>
        <v>82.13797482619772</v>
      </c>
      <c r="BV11" s="417">
        <f t="shared" si="7"/>
        <v>0.14214464928333989</v>
      </c>
      <c r="BW11" s="1103"/>
      <c r="BX11" s="1101">
        <f t="shared" ref="BX11:BX25" si="51">BU11</f>
        <v>82.13797482619772</v>
      </c>
      <c r="BY11" s="417">
        <f t="shared" ref="BY11:BY25" si="52">BV11</f>
        <v>0.14214464928333989</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16687.770624896853</v>
      </c>
      <c r="M12" s="3">
        <f t="shared" si="0"/>
        <v>0</v>
      </c>
      <c r="N12" s="419">
        <f t="shared" si="9"/>
        <v>333.64890933852411</v>
      </c>
      <c r="O12" s="518">
        <f t="shared" si="10"/>
        <v>261.64230363418824</v>
      </c>
      <c r="P12" s="419">
        <f t="shared" si="11"/>
        <v>2930.5381259825444</v>
      </c>
      <c r="Q12" s="519">
        <f t="shared" si="12"/>
        <v>16687.770624896853</v>
      </c>
      <c r="R12" s="520">
        <f t="shared" si="13"/>
        <v>333.64890933852411</v>
      </c>
      <c r="S12" s="518">
        <f t="shared" si="14"/>
        <v>261.64230363418824</v>
      </c>
      <c r="T12" s="519">
        <f t="shared" si="15"/>
        <v>2930.5381259825444</v>
      </c>
      <c r="U12" s="519">
        <f t="shared" si="16"/>
        <v>20213.59996385211</v>
      </c>
      <c r="V12" s="3"/>
      <c r="W12" s="596">
        <f t="shared" si="17"/>
        <v>2002</v>
      </c>
      <c r="X12" s="1101">
        <f t="shared" si="18"/>
        <v>16687.770624896853</v>
      </c>
      <c r="Y12" s="1102">
        <f t="shared" si="19"/>
        <v>333.64890933852411</v>
      </c>
      <c r="Z12" s="1102">
        <f t="shared" si="20"/>
        <v>261.64230363418824</v>
      </c>
      <c r="AA12" s="1102">
        <f t="shared" si="21"/>
        <v>2930.5381259825444</v>
      </c>
      <c r="AB12" s="1144">
        <f t="shared" si="22"/>
        <v>20213.59996385211</v>
      </c>
      <c r="AC12" s="1102"/>
      <c r="AD12" s="1101">
        <f t="shared" si="23"/>
        <v>16687.770624896853</v>
      </c>
      <c r="AE12" s="1102">
        <f t="shared" si="24"/>
        <v>333.64890933852411</v>
      </c>
      <c r="AF12" s="1102">
        <f t="shared" si="25"/>
        <v>261.64230363418824</v>
      </c>
      <c r="AG12" s="1102">
        <f t="shared" si="26"/>
        <v>2930.5381259825444</v>
      </c>
      <c r="AH12" s="1144">
        <f t="shared" si="27"/>
        <v>20213.59996385211</v>
      </c>
      <c r="AI12" s="1424"/>
      <c r="AJ12" s="1101">
        <f t="shared" si="28"/>
        <v>16687.770624896853</v>
      </c>
      <c r="AK12" s="1102">
        <f t="shared" si="29"/>
        <v>333.64890933852411</v>
      </c>
      <c r="AL12" s="1102">
        <f t="shared" si="30"/>
        <v>261.64230363418824</v>
      </c>
      <c r="AM12" s="1102">
        <f t="shared" si="31"/>
        <v>2930.5381259825444</v>
      </c>
      <c r="AN12" s="1144">
        <f t="shared" si="32"/>
        <v>20213.59996385211</v>
      </c>
      <c r="AO12" s="1421"/>
      <c r="AP12" s="1101">
        <f t="shared" si="33"/>
        <v>16687.770624896853</v>
      </c>
      <c r="AQ12" s="1102">
        <f t="shared" si="34"/>
        <v>333.64890933852411</v>
      </c>
      <c r="AR12" s="1102">
        <f t="shared" si="35"/>
        <v>261.64230363418824</v>
      </c>
      <c r="AS12" s="1102">
        <f t="shared" si="36"/>
        <v>2930.5381259825444</v>
      </c>
      <c r="AT12" s="1144">
        <f t="shared" si="37"/>
        <v>20213.59996385211</v>
      </c>
      <c r="AU12" s="1416"/>
      <c r="AV12" s="1101">
        <f t="shared" si="38"/>
        <v>16687.770624896853</v>
      </c>
      <c r="AW12" s="1102">
        <f t="shared" si="39"/>
        <v>333.64890933852411</v>
      </c>
      <c r="AX12" s="1102">
        <f t="shared" si="40"/>
        <v>261.64230363418824</v>
      </c>
      <c r="AY12" s="1102">
        <f t="shared" si="41"/>
        <v>2930.5381259825444</v>
      </c>
      <c r="AZ12" s="1144">
        <f t="shared" si="42"/>
        <v>20213.59996385211</v>
      </c>
      <c r="BA12" s="1426"/>
      <c r="BB12" s="1101">
        <f t="shared" si="43"/>
        <v>16687.770624896853</v>
      </c>
      <c r="BC12" s="1102">
        <f t="shared" si="44"/>
        <v>333.64890933852411</v>
      </c>
      <c r="BD12" s="1102">
        <f t="shared" si="45"/>
        <v>261.64230363418824</v>
      </c>
      <c r="BE12" s="1102">
        <f t="shared" si="46"/>
        <v>2930.5381259825444</v>
      </c>
      <c r="BF12" s="1144">
        <f t="shared" si="47"/>
        <v>20213.59996385211</v>
      </c>
      <c r="BG12" s="1429"/>
      <c r="BH12" s="596">
        <f t="shared" si="48"/>
        <v>2002</v>
      </c>
      <c r="BI12" s="1102">
        <f>'Baseline data (from input)'!AZ58</f>
        <v>84.576185085649414</v>
      </c>
      <c r="BJ12" s="576">
        <f>'Baseline data (from input)'!BA58</f>
        <v>0.14173338517014908</v>
      </c>
      <c r="BK12" s="1103"/>
      <c r="BL12" s="1101">
        <f t="shared" si="49"/>
        <v>84.576185085649414</v>
      </c>
      <c r="BM12" s="576">
        <f t="shared" si="50"/>
        <v>0.14173338517014908</v>
      </c>
      <c r="BN12" s="1103"/>
      <c r="BO12" s="1102">
        <f t="shared" si="6"/>
        <v>84.576185085649414</v>
      </c>
      <c r="BP12" s="417">
        <f t="shared" si="6"/>
        <v>0.14173338517014908</v>
      </c>
      <c r="BQ12" s="1103"/>
      <c r="BR12" s="1101">
        <f>'Baseline data (from input)'!AZ58</f>
        <v>84.576185085649414</v>
      </c>
      <c r="BS12" s="417">
        <f>'Baseline data (from input)'!BA58</f>
        <v>0.14173338517014908</v>
      </c>
      <c r="BT12" s="1103"/>
      <c r="BU12" s="1102">
        <f t="shared" si="7"/>
        <v>84.576185085649414</v>
      </c>
      <c r="BV12" s="417">
        <f t="shared" si="7"/>
        <v>0.14173338517014908</v>
      </c>
      <c r="BW12" s="1103"/>
      <c r="BX12" s="1101">
        <f t="shared" si="51"/>
        <v>84.576185085649414</v>
      </c>
      <c r="BY12" s="417">
        <f t="shared" si="52"/>
        <v>0.14173338517014908</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17197.243641205314</v>
      </c>
      <c r="M13" s="3">
        <f t="shared" si="0"/>
        <v>0</v>
      </c>
      <c r="N13" s="419">
        <f t="shared" si="9"/>
        <v>340.90197350236133</v>
      </c>
      <c r="O13" s="518">
        <f t="shared" si="10"/>
        <v>264.99234564808432</v>
      </c>
      <c r="P13" s="419">
        <f t="shared" si="11"/>
        <v>2968.0604444646974</v>
      </c>
      <c r="Q13" s="519">
        <f t="shared" si="12"/>
        <v>17197.243641205314</v>
      </c>
      <c r="R13" s="520">
        <f t="shared" si="13"/>
        <v>340.90197350236133</v>
      </c>
      <c r="S13" s="518">
        <f t="shared" si="14"/>
        <v>264.99234564808432</v>
      </c>
      <c r="T13" s="519">
        <f t="shared" si="15"/>
        <v>2968.0604444646974</v>
      </c>
      <c r="U13" s="519">
        <f t="shared" si="16"/>
        <v>20771.198404820454</v>
      </c>
      <c r="V13" s="3"/>
      <c r="W13" s="596">
        <f t="shared" si="17"/>
        <v>2003</v>
      </c>
      <c r="X13" s="1101">
        <f t="shared" si="18"/>
        <v>17197.243641205314</v>
      </c>
      <c r="Y13" s="1102">
        <f t="shared" si="19"/>
        <v>340.90197350236133</v>
      </c>
      <c r="Z13" s="1102">
        <f t="shared" si="20"/>
        <v>264.99234564808432</v>
      </c>
      <c r="AA13" s="1102">
        <f t="shared" si="21"/>
        <v>2968.0604444646974</v>
      </c>
      <c r="AB13" s="1144">
        <f t="shared" si="22"/>
        <v>20771.198404820454</v>
      </c>
      <c r="AC13" s="1102"/>
      <c r="AD13" s="1101">
        <f t="shared" si="23"/>
        <v>17197.243641205314</v>
      </c>
      <c r="AE13" s="1102">
        <f t="shared" si="24"/>
        <v>340.90197350236133</v>
      </c>
      <c r="AF13" s="1102">
        <f t="shared" si="25"/>
        <v>264.99234564808432</v>
      </c>
      <c r="AG13" s="1102">
        <f t="shared" si="26"/>
        <v>2968.0604444646974</v>
      </c>
      <c r="AH13" s="1144">
        <f t="shared" si="27"/>
        <v>20771.198404820454</v>
      </c>
      <c r="AI13" s="1424"/>
      <c r="AJ13" s="1101">
        <f t="shared" si="28"/>
        <v>17197.243641205314</v>
      </c>
      <c r="AK13" s="1102">
        <f t="shared" si="29"/>
        <v>340.90197350236133</v>
      </c>
      <c r="AL13" s="1102">
        <f t="shared" si="30"/>
        <v>264.99234564808432</v>
      </c>
      <c r="AM13" s="1102">
        <f t="shared" si="31"/>
        <v>2968.0604444646974</v>
      </c>
      <c r="AN13" s="1144">
        <f t="shared" si="32"/>
        <v>20771.198404820454</v>
      </c>
      <c r="AO13" s="1421"/>
      <c r="AP13" s="1101">
        <f t="shared" si="33"/>
        <v>17197.243641205314</v>
      </c>
      <c r="AQ13" s="1102">
        <f t="shared" si="34"/>
        <v>340.90197350236133</v>
      </c>
      <c r="AR13" s="1102">
        <f t="shared" si="35"/>
        <v>264.99234564808432</v>
      </c>
      <c r="AS13" s="1102">
        <f t="shared" si="36"/>
        <v>2968.0604444646974</v>
      </c>
      <c r="AT13" s="1144">
        <f t="shared" si="37"/>
        <v>20771.198404820454</v>
      </c>
      <c r="AU13" s="1416"/>
      <c r="AV13" s="1101">
        <f t="shared" si="38"/>
        <v>17197.243641205314</v>
      </c>
      <c r="AW13" s="1102">
        <f t="shared" si="39"/>
        <v>340.90197350236133</v>
      </c>
      <c r="AX13" s="1102">
        <f t="shared" si="40"/>
        <v>264.99234564808432</v>
      </c>
      <c r="AY13" s="1102">
        <f t="shared" si="41"/>
        <v>2968.0604444646974</v>
      </c>
      <c r="AZ13" s="1144">
        <f t="shared" si="42"/>
        <v>20771.198404820454</v>
      </c>
      <c r="BA13" s="1426"/>
      <c r="BB13" s="1101">
        <f t="shared" si="43"/>
        <v>17197.243641205314</v>
      </c>
      <c r="BC13" s="1102">
        <f t="shared" si="44"/>
        <v>340.90197350236133</v>
      </c>
      <c r="BD13" s="1102">
        <f t="shared" si="45"/>
        <v>264.99234564808432</v>
      </c>
      <c r="BE13" s="1102">
        <f t="shared" si="46"/>
        <v>2968.0604444646974</v>
      </c>
      <c r="BF13" s="1144">
        <f t="shared" si="47"/>
        <v>20771.198404820454</v>
      </c>
      <c r="BG13" s="1429"/>
      <c r="BH13" s="596">
        <f t="shared" si="48"/>
        <v>2003</v>
      </c>
      <c r="BI13" s="1102">
        <f>'Baseline data (from input)'!AZ59</f>
        <v>86.630682228218063</v>
      </c>
      <c r="BJ13" s="576">
        <f>'Baseline data (from input)'!BA59</f>
        <v>0.14852892698438741</v>
      </c>
      <c r="BK13" s="1103"/>
      <c r="BL13" s="1101">
        <f t="shared" si="49"/>
        <v>86.630682228218063</v>
      </c>
      <c r="BM13" s="576">
        <f t="shared" si="50"/>
        <v>0.14852892698438741</v>
      </c>
      <c r="BN13" s="1103"/>
      <c r="BO13" s="1102">
        <f t="shared" si="6"/>
        <v>86.630682228218063</v>
      </c>
      <c r="BP13" s="417">
        <f t="shared" si="6"/>
        <v>0.14852892698438741</v>
      </c>
      <c r="BQ13" s="1103"/>
      <c r="BR13" s="1101">
        <f>'Baseline data (from input)'!AZ59</f>
        <v>86.630682228218063</v>
      </c>
      <c r="BS13" s="417">
        <f>'Baseline data (from input)'!BA59</f>
        <v>0.14852892698438741</v>
      </c>
      <c r="BT13" s="1103"/>
      <c r="BU13" s="1102">
        <f t="shared" si="7"/>
        <v>86.630682228218063</v>
      </c>
      <c r="BV13" s="417">
        <f t="shared" si="7"/>
        <v>0.14852892698438741</v>
      </c>
      <c r="BW13" s="1103"/>
      <c r="BX13" s="1101">
        <f t="shared" si="51"/>
        <v>86.630682228218063</v>
      </c>
      <c r="BY13" s="417">
        <f t="shared" si="52"/>
        <v>0.14852892698438741</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17643.853630693935</v>
      </c>
      <c r="M14" s="3">
        <f t="shared" si="0"/>
        <v>0</v>
      </c>
      <c r="N14" s="419">
        <f t="shared" si="9"/>
        <v>351.14737357874856</v>
      </c>
      <c r="O14" s="518">
        <f t="shared" si="10"/>
        <v>268.1470164296091</v>
      </c>
      <c r="P14" s="419">
        <f t="shared" si="11"/>
        <v>3003.3944973749908</v>
      </c>
      <c r="Q14" s="519">
        <f t="shared" si="12"/>
        <v>17643.853630693935</v>
      </c>
      <c r="R14" s="520">
        <f t="shared" si="13"/>
        <v>351.14737357874856</v>
      </c>
      <c r="S14" s="518">
        <f t="shared" si="14"/>
        <v>268.1470164296091</v>
      </c>
      <c r="T14" s="519">
        <f t="shared" si="15"/>
        <v>3003.3944973749908</v>
      </c>
      <c r="U14" s="519">
        <f t="shared" si="16"/>
        <v>21266.54251807728</v>
      </c>
      <c r="V14" s="3"/>
      <c r="W14" s="596">
        <f t="shared" si="17"/>
        <v>2004</v>
      </c>
      <c r="X14" s="1101">
        <f t="shared" si="18"/>
        <v>17643.853630693935</v>
      </c>
      <c r="Y14" s="1102">
        <f t="shared" si="19"/>
        <v>351.14737357874856</v>
      </c>
      <c r="Z14" s="1102">
        <f t="shared" si="20"/>
        <v>268.1470164296091</v>
      </c>
      <c r="AA14" s="1102">
        <f t="shared" si="21"/>
        <v>3003.3944973749908</v>
      </c>
      <c r="AB14" s="1144">
        <f t="shared" si="22"/>
        <v>21266.54251807728</v>
      </c>
      <c r="AC14" s="1102"/>
      <c r="AD14" s="1101">
        <f t="shared" si="23"/>
        <v>17643.853630693935</v>
      </c>
      <c r="AE14" s="1102">
        <f t="shared" si="24"/>
        <v>351.14737357874856</v>
      </c>
      <c r="AF14" s="1102">
        <f t="shared" si="25"/>
        <v>268.1470164296091</v>
      </c>
      <c r="AG14" s="1102">
        <f t="shared" si="26"/>
        <v>3003.3944973749908</v>
      </c>
      <c r="AH14" s="1144">
        <f t="shared" si="27"/>
        <v>21266.54251807728</v>
      </c>
      <c r="AI14" s="1424"/>
      <c r="AJ14" s="1101">
        <f t="shared" si="28"/>
        <v>17643.853630693935</v>
      </c>
      <c r="AK14" s="1102">
        <f t="shared" si="29"/>
        <v>351.14737357874856</v>
      </c>
      <c r="AL14" s="1102">
        <f t="shared" si="30"/>
        <v>268.1470164296091</v>
      </c>
      <c r="AM14" s="1102">
        <f t="shared" si="31"/>
        <v>3003.3944973749908</v>
      </c>
      <c r="AN14" s="1144">
        <f t="shared" si="32"/>
        <v>21266.54251807728</v>
      </c>
      <c r="AO14" s="1421"/>
      <c r="AP14" s="1101">
        <f t="shared" si="33"/>
        <v>17643.853630693935</v>
      </c>
      <c r="AQ14" s="1102">
        <f t="shared" si="34"/>
        <v>351.14737357874856</v>
      </c>
      <c r="AR14" s="1102">
        <f t="shared" si="35"/>
        <v>268.1470164296091</v>
      </c>
      <c r="AS14" s="1102">
        <f t="shared" si="36"/>
        <v>3003.3944973749908</v>
      </c>
      <c r="AT14" s="1144">
        <f t="shared" si="37"/>
        <v>21266.54251807728</v>
      </c>
      <c r="AU14" s="1416"/>
      <c r="AV14" s="1101">
        <f t="shared" si="38"/>
        <v>17643.853630693935</v>
      </c>
      <c r="AW14" s="1102">
        <f t="shared" si="39"/>
        <v>351.14737357874856</v>
      </c>
      <c r="AX14" s="1102">
        <f t="shared" si="40"/>
        <v>268.1470164296091</v>
      </c>
      <c r="AY14" s="1102">
        <f t="shared" si="41"/>
        <v>3003.3944973749908</v>
      </c>
      <c r="AZ14" s="1144">
        <f t="shared" si="42"/>
        <v>21266.54251807728</v>
      </c>
      <c r="BA14" s="1426"/>
      <c r="BB14" s="1101">
        <f t="shared" si="43"/>
        <v>17643.853630693935</v>
      </c>
      <c r="BC14" s="1102">
        <f t="shared" si="44"/>
        <v>351.14737357874856</v>
      </c>
      <c r="BD14" s="1102">
        <f t="shared" si="45"/>
        <v>268.1470164296091</v>
      </c>
      <c r="BE14" s="1102">
        <f t="shared" si="46"/>
        <v>3003.3944973749908</v>
      </c>
      <c r="BF14" s="1144">
        <f t="shared" si="47"/>
        <v>21266.54251807728</v>
      </c>
      <c r="BG14" s="1429"/>
      <c r="BH14" s="596">
        <f t="shared" si="48"/>
        <v>2004</v>
      </c>
      <c r="BI14" s="1102">
        <f>'Baseline data (from input)'!AZ60</f>
        <v>89.6784936176835</v>
      </c>
      <c r="BJ14" s="576">
        <f>'Baseline data (from input)'!BA60</f>
        <v>0.15517590511840215</v>
      </c>
      <c r="BK14" s="1103"/>
      <c r="BL14" s="1101">
        <f t="shared" si="49"/>
        <v>89.6784936176835</v>
      </c>
      <c r="BM14" s="576">
        <f t="shared" si="50"/>
        <v>0.15517590511840215</v>
      </c>
      <c r="BN14" s="1103"/>
      <c r="BO14" s="1102">
        <f t="shared" si="6"/>
        <v>89.6784936176835</v>
      </c>
      <c r="BP14" s="417">
        <f t="shared" si="6"/>
        <v>0.15517590511840215</v>
      </c>
      <c r="BQ14" s="1103"/>
      <c r="BR14" s="1101">
        <f>'Baseline data (from input)'!AZ60</f>
        <v>89.6784936176835</v>
      </c>
      <c r="BS14" s="417">
        <f>'Baseline data (from input)'!BA60</f>
        <v>0.15517590511840215</v>
      </c>
      <c r="BT14" s="1103"/>
      <c r="BU14" s="1102">
        <f t="shared" si="7"/>
        <v>89.6784936176835</v>
      </c>
      <c r="BV14" s="417">
        <f t="shared" si="7"/>
        <v>0.15517590511840215</v>
      </c>
      <c r="BW14" s="1103"/>
      <c r="BX14" s="1101">
        <f t="shared" si="51"/>
        <v>89.6784936176835</v>
      </c>
      <c r="BY14" s="417">
        <f t="shared" si="52"/>
        <v>0.15517590511840215</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18037.435465934992</v>
      </c>
      <c r="M15" s="3">
        <f t="shared" si="0"/>
        <v>0</v>
      </c>
      <c r="N15" s="419">
        <f t="shared" si="9"/>
        <v>363.10913274822752</v>
      </c>
      <c r="O15" s="518">
        <f t="shared" si="10"/>
        <v>271.20974780766511</v>
      </c>
      <c r="P15" s="419">
        <f t="shared" si="11"/>
        <v>3037.6987782514689</v>
      </c>
      <c r="Q15" s="519">
        <f t="shared" si="12"/>
        <v>18037.435465934992</v>
      </c>
      <c r="R15" s="520">
        <f t="shared" si="13"/>
        <v>363.10913274822752</v>
      </c>
      <c r="S15" s="518">
        <f t="shared" si="14"/>
        <v>271.20974780766511</v>
      </c>
      <c r="T15" s="519">
        <f t="shared" si="15"/>
        <v>3037.6987782514689</v>
      </c>
      <c r="U15" s="519">
        <f t="shared" si="16"/>
        <v>21709.453124742355</v>
      </c>
      <c r="V15" s="3"/>
      <c r="W15" s="596">
        <f t="shared" si="17"/>
        <v>2005</v>
      </c>
      <c r="X15" s="1101">
        <f t="shared" si="18"/>
        <v>18037.435465934992</v>
      </c>
      <c r="Y15" s="1102">
        <f t="shared" si="19"/>
        <v>363.10913274822752</v>
      </c>
      <c r="Z15" s="1102">
        <f t="shared" si="20"/>
        <v>271.20974780766511</v>
      </c>
      <c r="AA15" s="1102">
        <f t="shared" si="21"/>
        <v>3037.6987782514689</v>
      </c>
      <c r="AB15" s="1144">
        <f t="shared" si="22"/>
        <v>21709.453124742355</v>
      </c>
      <c r="AC15" s="1102"/>
      <c r="AD15" s="1101">
        <f t="shared" si="23"/>
        <v>18037.435465934992</v>
      </c>
      <c r="AE15" s="1102">
        <f t="shared" si="24"/>
        <v>363.10913274822752</v>
      </c>
      <c r="AF15" s="1102">
        <f t="shared" si="25"/>
        <v>271.20974780766511</v>
      </c>
      <c r="AG15" s="1102">
        <f t="shared" si="26"/>
        <v>3037.6987782514689</v>
      </c>
      <c r="AH15" s="1144">
        <f t="shared" si="27"/>
        <v>21709.453124742355</v>
      </c>
      <c r="AI15" s="1424"/>
      <c r="AJ15" s="1101">
        <f t="shared" si="28"/>
        <v>18037.435465934992</v>
      </c>
      <c r="AK15" s="1102">
        <f t="shared" si="29"/>
        <v>363.10913274822752</v>
      </c>
      <c r="AL15" s="1102">
        <f t="shared" si="30"/>
        <v>271.20974780766511</v>
      </c>
      <c r="AM15" s="1102">
        <f t="shared" si="31"/>
        <v>3037.6987782514689</v>
      </c>
      <c r="AN15" s="1144">
        <f t="shared" si="32"/>
        <v>21709.453124742355</v>
      </c>
      <c r="AO15" s="1421"/>
      <c r="AP15" s="1101">
        <f t="shared" si="33"/>
        <v>18037.435465934992</v>
      </c>
      <c r="AQ15" s="1102">
        <f t="shared" si="34"/>
        <v>363.10913274822752</v>
      </c>
      <c r="AR15" s="1102">
        <f t="shared" si="35"/>
        <v>271.20974780766511</v>
      </c>
      <c r="AS15" s="1102">
        <f t="shared" si="36"/>
        <v>3037.6987782514689</v>
      </c>
      <c r="AT15" s="1144">
        <f t="shared" si="37"/>
        <v>21709.453124742355</v>
      </c>
      <c r="AU15" s="1416"/>
      <c r="AV15" s="1101">
        <f t="shared" si="38"/>
        <v>18037.435465934992</v>
      </c>
      <c r="AW15" s="1102">
        <f t="shared" si="39"/>
        <v>363.10913274822752</v>
      </c>
      <c r="AX15" s="1102">
        <f t="shared" si="40"/>
        <v>271.20974780766511</v>
      </c>
      <c r="AY15" s="1102">
        <f t="shared" si="41"/>
        <v>3037.6987782514689</v>
      </c>
      <c r="AZ15" s="1144">
        <f t="shared" si="42"/>
        <v>21709.453124742355</v>
      </c>
      <c r="BA15" s="1426"/>
      <c r="BB15" s="1101">
        <f t="shared" si="43"/>
        <v>18037.435465934992</v>
      </c>
      <c r="BC15" s="1102">
        <f t="shared" si="44"/>
        <v>363.10913274822752</v>
      </c>
      <c r="BD15" s="1102">
        <f t="shared" si="45"/>
        <v>271.20974780766511</v>
      </c>
      <c r="BE15" s="1102">
        <f t="shared" si="46"/>
        <v>3037.6987782514689</v>
      </c>
      <c r="BF15" s="1144">
        <f t="shared" si="47"/>
        <v>21709.453124742355</v>
      </c>
      <c r="BG15" s="1429"/>
      <c r="BH15" s="596">
        <f t="shared" si="48"/>
        <v>2005</v>
      </c>
      <c r="BI15" s="1102">
        <f>'Baseline data (from input)'!AZ61</f>
        <v>93.294196509081559</v>
      </c>
      <c r="BJ15" s="576">
        <f>'Baseline data (from input)'!BA61</f>
        <v>0.16188740134793256</v>
      </c>
      <c r="BK15" s="1103"/>
      <c r="BL15" s="1101">
        <f t="shared" si="49"/>
        <v>93.294196509081559</v>
      </c>
      <c r="BM15" s="576">
        <f t="shared" si="50"/>
        <v>0.16188740134793256</v>
      </c>
      <c r="BN15" s="1103"/>
      <c r="BO15" s="1102">
        <f t="shared" si="6"/>
        <v>93.294196509081559</v>
      </c>
      <c r="BP15" s="417">
        <f t="shared" si="6"/>
        <v>0.16188740134793256</v>
      </c>
      <c r="BQ15" s="1103"/>
      <c r="BR15" s="1101">
        <f>'Baseline data (from input)'!AZ61</f>
        <v>93.294196509081559</v>
      </c>
      <c r="BS15" s="417">
        <f>'Baseline data (from input)'!BA61</f>
        <v>0.16188740134793256</v>
      </c>
      <c r="BT15" s="1103"/>
      <c r="BU15" s="1102">
        <f t="shared" si="7"/>
        <v>93.294196509081559</v>
      </c>
      <c r="BV15" s="417">
        <f t="shared" si="7"/>
        <v>0.16188740134793256</v>
      </c>
      <c r="BW15" s="1103"/>
      <c r="BX15" s="1101">
        <f t="shared" si="51"/>
        <v>93.294196509081559</v>
      </c>
      <c r="BY15" s="417">
        <f t="shared" si="52"/>
        <v>0.16188740134793256</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18380.817356862048</v>
      </c>
      <c r="M16" s="3">
        <f t="shared" si="0"/>
        <v>0</v>
      </c>
      <c r="N16" s="419">
        <f t="shared" si="9"/>
        <v>376.26782402726133</v>
      </c>
      <c r="O16" s="518">
        <f t="shared" si="10"/>
        <v>274.27247918572107</v>
      </c>
      <c r="P16" s="419">
        <f t="shared" si="11"/>
        <v>3072.0030591279478</v>
      </c>
      <c r="Q16" s="519">
        <f t="shared" si="12"/>
        <v>18380.817356862048</v>
      </c>
      <c r="R16" s="520">
        <f t="shared" si="13"/>
        <v>376.26782402726133</v>
      </c>
      <c r="S16" s="518">
        <f t="shared" si="14"/>
        <v>274.27247918572107</v>
      </c>
      <c r="T16" s="519">
        <f t="shared" si="15"/>
        <v>3072.0030591279478</v>
      </c>
      <c r="U16" s="519">
        <f t="shared" si="16"/>
        <v>22103.360719202978</v>
      </c>
      <c r="V16" s="3"/>
      <c r="W16" s="596">
        <f t="shared" si="17"/>
        <v>2006</v>
      </c>
      <c r="X16" s="1101">
        <f t="shared" si="18"/>
        <v>18380.817356862048</v>
      </c>
      <c r="Y16" s="1102">
        <f t="shared" si="19"/>
        <v>376.26782402726133</v>
      </c>
      <c r="Z16" s="1102">
        <f t="shared" si="20"/>
        <v>274.27247918572107</v>
      </c>
      <c r="AA16" s="1102">
        <f t="shared" si="21"/>
        <v>3072.0030591279478</v>
      </c>
      <c r="AB16" s="1144">
        <f t="shared" si="22"/>
        <v>22103.360719202978</v>
      </c>
      <c r="AC16" s="1102"/>
      <c r="AD16" s="1101">
        <f t="shared" si="23"/>
        <v>18380.817356862048</v>
      </c>
      <c r="AE16" s="1102">
        <f t="shared" si="24"/>
        <v>376.26782402726133</v>
      </c>
      <c r="AF16" s="1102">
        <f t="shared" si="25"/>
        <v>274.27247918572107</v>
      </c>
      <c r="AG16" s="1102">
        <f t="shared" si="26"/>
        <v>3072.0030591279478</v>
      </c>
      <c r="AH16" s="1144">
        <f t="shared" si="27"/>
        <v>22103.360719202978</v>
      </c>
      <c r="AI16" s="1424"/>
      <c r="AJ16" s="1101">
        <f t="shared" si="28"/>
        <v>18380.817356862048</v>
      </c>
      <c r="AK16" s="1102">
        <f t="shared" si="29"/>
        <v>376.26782402726133</v>
      </c>
      <c r="AL16" s="1102">
        <f t="shared" si="30"/>
        <v>274.27247918572107</v>
      </c>
      <c r="AM16" s="1102">
        <f t="shared" si="31"/>
        <v>3072.0030591279478</v>
      </c>
      <c r="AN16" s="1144">
        <f t="shared" si="32"/>
        <v>22103.360719202978</v>
      </c>
      <c r="AO16" s="1421"/>
      <c r="AP16" s="1101">
        <f t="shared" si="33"/>
        <v>18380.817356862048</v>
      </c>
      <c r="AQ16" s="1102">
        <f t="shared" si="34"/>
        <v>376.26782402726133</v>
      </c>
      <c r="AR16" s="1102">
        <f t="shared" si="35"/>
        <v>274.27247918572107</v>
      </c>
      <c r="AS16" s="1102">
        <f t="shared" si="36"/>
        <v>3072.0030591279478</v>
      </c>
      <c r="AT16" s="1144">
        <f t="shared" si="37"/>
        <v>22103.360719202978</v>
      </c>
      <c r="AU16" s="1416"/>
      <c r="AV16" s="1101">
        <f t="shared" si="38"/>
        <v>18380.817356862048</v>
      </c>
      <c r="AW16" s="1102">
        <f t="shared" si="39"/>
        <v>376.26782402726133</v>
      </c>
      <c r="AX16" s="1102">
        <f t="shared" si="40"/>
        <v>274.27247918572107</v>
      </c>
      <c r="AY16" s="1102">
        <f t="shared" si="41"/>
        <v>3072.0030591279478</v>
      </c>
      <c r="AZ16" s="1144">
        <f t="shared" si="42"/>
        <v>22103.360719202978</v>
      </c>
      <c r="BA16" s="1426"/>
      <c r="BB16" s="1101">
        <f t="shared" si="43"/>
        <v>18380.817356862048</v>
      </c>
      <c r="BC16" s="1102">
        <f t="shared" si="44"/>
        <v>376.26782402726133</v>
      </c>
      <c r="BD16" s="1102">
        <f t="shared" si="45"/>
        <v>274.27247918572107</v>
      </c>
      <c r="BE16" s="1102">
        <f t="shared" si="46"/>
        <v>3072.0030591279478</v>
      </c>
      <c r="BF16" s="1144">
        <f t="shared" si="47"/>
        <v>22103.360719202978</v>
      </c>
      <c r="BG16" s="1429"/>
      <c r="BH16" s="596">
        <f t="shared" si="48"/>
        <v>2006</v>
      </c>
      <c r="BI16" s="1102">
        <f>'Baseline data (from input)'!AZ62</f>
        <v>97.30000595277798</v>
      </c>
      <c r="BJ16" s="576">
        <f>'Baseline data (from input)'!BA62</f>
        <v>0.16874772069220229</v>
      </c>
      <c r="BK16" s="1103"/>
      <c r="BL16" s="1101">
        <f t="shared" si="49"/>
        <v>97.30000595277798</v>
      </c>
      <c r="BM16" s="576">
        <f t="shared" si="50"/>
        <v>0.16874772069220229</v>
      </c>
      <c r="BN16" s="1103"/>
      <c r="BO16" s="1102">
        <f t="shared" si="6"/>
        <v>97.30000595277798</v>
      </c>
      <c r="BP16" s="417">
        <f t="shared" si="6"/>
        <v>0.16874772069220229</v>
      </c>
      <c r="BQ16" s="1103"/>
      <c r="BR16" s="1101">
        <f>'Baseline data (from input)'!AZ62</f>
        <v>97.30000595277798</v>
      </c>
      <c r="BS16" s="417">
        <f>'Baseline data (from input)'!BA62</f>
        <v>0.16874772069220229</v>
      </c>
      <c r="BT16" s="1103"/>
      <c r="BU16" s="1102">
        <f t="shared" si="7"/>
        <v>97.30000595277798</v>
      </c>
      <c r="BV16" s="417">
        <f t="shared" si="7"/>
        <v>0.16874772069220229</v>
      </c>
      <c r="BW16" s="1103"/>
      <c r="BX16" s="1101">
        <f t="shared" si="51"/>
        <v>97.30000595277798</v>
      </c>
      <c r="BY16" s="417">
        <f t="shared" si="52"/>
        <v>0.16874772069220229</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18673.919974866629</v>
      </c>
      <c r="M17" s="3">
        <f t="shared" si="0"/>
        <v>0</v>
      </c>
      <c r="N17" s="419">
        <f t="shared" si="9"/>
        <v>389.51821483755981</v>
      </c>
      <c r="O17" s="518">
        <f t="shared" si="10"/>
        <v>277.29498707475938</v>
      </c>
      <c r="P17" s="419">
        <f t="shared" si="11"/>
        <v>3105.8568147396318</v>
      </c>
      <c r="Q17" s="519">
        <f t="shared" si="12"/>
        <v>18673.919974866629</v>
      </c>
      <c r="R17" s="520">
        <f t="shared" si="13"/>
        <v>389.51821483755981</v>
      </c>
      <c r="S17" s="518">
        <f t="shared" si="14"/>
        <v>277.29498707475938</v>
      </c>
      <c r="T17" s="519">
        <f t="shared" si="15"/>
        <v>3105.8568147396318</v>
      </c>
      <c r="U17" s="519">
        <f t="shared" si="16"/>
        <v>22446.58999151858</v>
      </c>
      <c r="V17" s="3"/>
      <c r="W17" s="596">
        <f t="shared" si="17"/>
        <v>2007</v>
      </c>
      <c r="X17" s="1101">
        <f t="shared" si="18"/>
        <v>18673.919974866629</v>
      </c>
      <c r="Y17" s="1102">
        <f t="shared" si="19"/>
        <v>389.51821483755981</v>
      </c>
      <c r="Z17" s="1102">
        <f t="shared" si="20"/>
        <v>277.29498707475938</v>
      </c>
      <c r="AA17" s="1102">
        <f t="shared" si="21"/>
        <v>3105.8568147396318</v>
      </c>
      <c r="AB17" s="1144">
        <f t="shared" si="22"/>
        <v>22446.58999151858</v>
      </c>
      <c r="AC17" s="1102"/>
      <c r="AD17" s="1101">
        <f t="shared" si="23"/>
        <v>18673.919974866629</v>
      </c>
      <c r="AE17" s="1102">
        <f t="shared" si="24"/>
        <v>389.51821483755981</v>
      </c>
      <c r="AF17" s="1102">
        <f t="shared" si="25"/>
        <v>277.29498707475938</v>
      </c>
      <c r="AG17" s="1102">
        <f t="shared" si="26"/>
        <v>3105.8568147396318</v>
      </c>
      <c r="AH17" s="1144">
        <f t="shared" si="27"/>
        <v>22446.58999151858</v>
      </c>
      <c r="AI17" s="1424"/>
      <c r="AJ17" s="1101">
        <f t="shared" si="28"/>
        <v>18673.919974866629</v>
      </c>
      <c r="AK17" s="1102">
        <f t="shared" si="29"/>
        <v>389.51821483755981</v>
      </c>
      <c r="AL17" s="1102">
        <f t="shared" si="30"/>
        <v>277.29498707475938</v>
      </c>
      <c r="AM17" s="1102">
        <f t="shared" si="31"/>
        <v>3105.8568147396318</v>
      </c>
      <c r="AN17" s="1144">
        <f t="shared" si="32"/>
        <v>22446.58999151858</v>
      </c>
      <c r="AO17" s="1421"/>
      <c r="AP17" s="1101">
        <f t="shared" si="33"/>
        <v>18673.919974866629</v>
      </c>
      <c r="AQ17" s="1102">
        <f t="shared" si="34"/>
        <v>389.51821483755981</v>
      </c>
      <c r="AR17" s="1102">
        <f t="shared" si="35"/>
        <v>277.29498707475938</v>
      </c>
      <c r="AS17" s="1102">
        <f t="shared" si="36"/>
        <v>3105.8568147396318</v>
      </c>
      <c r="AT17" s="1144">
        <f t="shared" si="37"/>
        <v>22446.58999151858</v>
      </c>
      <c r="AU17" s="1416"/>
      <c r="AV17" s="1101">
        <f t="shared" si="38"/>
        <v>18673.919974866629</v>
      </c>
      <c r="AW17" s="1102">
        <f t="shared" si="39"/>
        <v>389.51821483755981</v>
      </c>
      <c r="AX17" s="1102">
        <f t="shared" si="40"/>
        <v>277.29498707475938</v>
      </c>
      <c r="AY17" s="1102">
        <f t="shared" si="41"/>
        <v>3105.8568147396318</v>
      </c>
      <c r="AZ17" s="1144">
        <f t="shared" si="42"/>
        <v>22446.58999151858</v>
      </c>
      <c r="BA17" s="1426"/>
      <c r="BB17" s="1101">
        <f t="shared" si="43"/>
        <v>18673.919974866629</v>
      </c>
      <c r="BC17" s="1102">
        <f t="shared" si="44"/>
        <v>389.51821483755981</v>
      </c>
      <c r="BD17" s="1102">
        <f t="shared" si="45"/>
        <v>277.29498707475938</v>
      </c>
      <c r="BE17" s="1102">
        <f t="shared" si="46"/>
        <v>3105.8568147396318</v>
      </c>
      <c r="BF17" s="1144">
        <f t="shared" si="47"/>
        <v>22446.58999151858</v>
      </c>
      <c r="BG17" s="1429"/>
      <c r="BH17" s="596">
        <f t="shared" si="48"/>
        <v>2007</v>
      </c>
      <c r="BI17" s="1102">
        <f>'Baseline data (from input)'!AZ63</f>
        <v>101.33941765335831</v>
      </c>
      <c r="BJ17" s="576">
        <f>'Baseline data (from input)'!BA63</f>
        <v>0.17580920067317604</v>
      </c>
      <c r="BK17" s="1103"/>
      <c r="BL17" s="1101">
        <f t="shared" si="49"/>
        <v>101.33941765335831</v>
      </c>
      <c r="BM17" s="576">
        <f t="shared" si="50"/>
        <v>0.17580920067317604</v>
      </c>
      <c r="BN17" s="1103"/>
      <c r="BO17" s="1102">
        <f t="shared" si="6"/>
        <v>101.33941765335831</v>
      </c>
      <c r="BP17" s="417">
        <f t="shared" si="6"/>
        <v>0.17580920067317604</v>
      </c>
      <c r="BQ17" s="1103"/>
      <c r="BR17" s="1101">
        <f>'Baseline data (from input)'!AZ63</f>
        <v>101.33941765335831</v>
      </c>
      <c r="BS17" s="417">
        <f>'Baseline data (from input)'!BA63</f>
        <v>0.17580920067317604</v>
      </c>
      <c r="BT17" s="1103"/>
      <c r="BU17" s="1102">
        <f t="shared" si="7"/>
        <v>101.33941765335831</v>
      </c>
      <c r="BV17" s="417">
        <f t="shared" si="7"/>
        <v>0.17580920067317604</v>
      </c>
      <c r="BW17" s="1103"/>
      <c r="BX17" s="1101">
        <f t="shared" si="51"/>
        <v>101.33941765335831</v>
      </c>
      <c r="BY17" s="417">
        <f t="shared" si="52"/>
        <v>0.17580920067317604</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18913.355947988206</v>
      </c>
      <c r="M18" s="3">
        <f t="shared" si="0"/>
        <v>0</v>
      </c>
      <c r="N18" s="419">
        <f t="shared" si="9"/>
        <v>398.53046053935196</v>
      </c>
      <c r="O18" s="518">
        <f t="shared" si="10"/>
        <v>280.37495709096584</v>
      </c>
      <c r="P18" s="419">
        <f t="shared" si="11"/>
        <v>3140.3541778724511</v>
      </c>
      <c r="Q18" s="519">
        <f t="shared" si="12"/>
        <v>18913.355947988206</v>
      </c>
      <c r="R18" s="520">
        <f t="shared" si="13"/>
        <v>398.53046053935196</v>
      </c>
      <c r="S18" s="518">
        <f t="shared" si="14"/>
        <v>280.37495709096584</v>
      </c>
      <c r="T18" s="519">
        <f t="shared" si="15"/>
        <v>3140.3541778724511</v>
      </c>
      <c r="U18" s="519">
        <f t="shared" si="16"/>
        <v>22732.615543490971</v>
      </c>
      <c r="V18" s="3"/>
      <c r="W18" s="596">
        <f t="shared" si="17"/>
        <v>2008</v>
      </c>
      <c r="X18" s="1101">
        <f t="shared" si="18"/>
        <v>18913.355947988206</v>
      </c>
      <c r="Y18" s="1102">
        <f t="shared" si="19"/>
        <v>398.53046053935196</v>
      </c>
      <c r="Z18" s="1102">
        <f t="shared" si="20"/>
        <v>280.37495709096584</v>
      </c>
      <c r="AA18" s="1102">
        <f t="shared" si="21"/>
        <v>3140.3541778724511</v>
      </c>
      <c r="AB18" s="1144">
        <f t="shared" si="22"/>
        <v>22732.615543490971</v>
      </c>
      <c r="AC18" s="1102"/>
      <c r="AD18" s="1101">
        <f t="shared" si="23"/>
        <v>18913.355947988206</v>
      </c>
      <c r="AE18" s="1102">
        <f t="shared" si="24"/>
        <v>398.53046053935196</v>
      </c>
      <c r="AF18" s="1102">
        <f t="shared" si="25"/>
        <v>280.37495709096584</v>
      </c>
      <c r="AG18" s="1102">
        <f t="shared" si="26"/>
        <v>3140.3541778724511</v>
      </c>
      <c r="AH18" s="1144">
        <f t="shared" si="27"/>
        <v>22732.615543490971</v>
      </c>
      <c r="AI18" s="1424"/>
      <c r="AJ18" s="1101">
        <f t="shared" si="28"/>
        <v>18913.355947988206</v>
      </c>
      <c r="AK18" s="1102">
        <f t="shared" si="29"/>
        <v>398.53046053935196</v>
      </c>
      <c r="AL18" s="1102">
        <f t="shared" si="30"/>
        <v>280.37495709096584</v>
      </c>
      <c r="AM18" s="1102">
        <f t="shared" si="31"/>
        <v>3140.3541778724511</v>
      </c>
      <c r="AN18" s="1144">
        <f t="shared" si="32"/>
        <v>22732.615543490971</v>
      </c>
      <c r="AO18" s="1421"/>
      <c r="AP18" s="1101">
        <f t="shared" si="33"/>
        <v>18913.355947988206</v>
      </c>
      <c r="AQ18" s="1102">
        <f t="shared" si="34"/>
        <v>398.53046053935196</v>
      </c>
      <c r="AR18" s="1102">
        <f t="shared" si="35"/>
        <v>280.37495709096584</v>
      </c>
      <c r="AS18" s="1102">
        <f t="shared" si="36"/>
        <v>3140.3541778724511</v>
      </c>
      <c r="AT18" s="1144">
        <f t="shared" si="37"/>
        <v>22732.615543490971</v>
      </c>
      <c r="AU18" s="1416"/>
      <c r="AV18" s="1101">
        <f t="shared" si="38"/>
        <v>18913.355947988206</v>
      </c>
      <c r="AW18" s="1102">
        <f t="shared" si="39"/>
        <v>398.53046053935196</v>
      </c>
      <c r="AX18" s="1102">
        <f t="shared" si="40"/>
        <v>280.37495709096584</v>
      </c>
      <c r="AY18" s="1102">
        <f t="shared" si="41"/>
        <v>3140.3541778724511</v>
      </c>
      <c r="AZ18" s="1144">
        <f t="shared" si="42"/>
        <v>22732.615543490971</v>
      </c>
      <c r="BA18" s="1426"/>
      <c r="BB18" s="1101">
        <f t="shared" si="43"/>
        <v>18913.355947988206</v>
      </c>
      <c r="BC18" s="1102">
        <f t="shared" si="44"/>
        <v>398.53046053935196</v>
      </c>
      <c r="BD18" s="1102">
        <f t="shared" si="45"/>
        <v>280.37495709096584</v>
      </c>
      <c r="BE18" s="1102">
        <f t="shared" si="46"/>
        <v>3140.3541778724511</v>
      </c>
      <c r="BF18" s="1144">
        <f t="shared" si="47"/>
        <v>22732.615543490971</v>
      </c>
      <c r="BG18" s="1429"/>
      <c r="BH18" s="596">
        <f t="shared" si="48"/>
        <v>2008</v>
      </c>
      <c r="BI18" s="1102">
        <f>'Baseline data (from input)'!AZ64</f>
        <v>103.99221680811841</v>
      </c>
      <c r="BJ18" s="576">
        <f>'Baseline data (from input)'!BA64</f>
        <v>0.1831397798792109</v>
      </c>
      <c r="BK18" s="1103"/>
      <c r="BL18" s="1101">
        <f t="shared" si="49"/>
        <v>103.99221680811841</v>
      </c>
      <c r="BM18" s="576">
        <f t="shared" si="50"/>
        <v>0.1831397798792109</v>
      </c>
      <c r="BN18" s="1103"/>
      <c r="BO18" s="1102">
        <f t="shared" si="6"/>
        <v>103.99221680811841</v>
      </c>
      <c r="BP18" s="417">
        <f t="shared" si="6"/>
        <v>0.1831397798792109</v>
      </c>
      <c r="BQ18" s="1103"/>
      <c r="BR18" s="1101">
        <f>'Baseline data (from input)'!AZ64</f>
        <v>103.99221680811841</v>
      </c>
      <c r="BS18" s="417">
        <f>'Baseline data (from input)'!BA64</f>
        <v>0.1831397798792109</v>
      </c>
      <c r="BT18" s="1103"/>
      <c r="BU18" s="1102">
        <f t="shared" si="7"/>
        <v>103.99221680811841</v>
      </c>
      <c r="BV18" s="417">
        <f t="shared" si="7"/>
        <v>0.1831397798792109</v>
      </c>
      <c r="BW18" s="1103"/>
      <c r="BX18" s="1101">
        <f t="shared" si="51"/>
        <v>103.99221680811841</v>
      </c>
      <c r="BY18" s="417">
        <f t="shared" si="52"/>
        <v>0.1831397798792109</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19088.544397267087</v>
      </c>
      <c r="M19" s="3">
        <f t="shared" si="0"/>
        <v>0</v>
      </c>
      <c r="N19" s="419">
        <f t="shared" si="9"/>
        <v>396.74947082898302</v>
      </c>
      <c r="O19" s="518">
        <f t="shared" si="10"/>
        <v>283.40321119272096</v>
      </c>
      <c r="P19" s="419">
        <f t="shared" si="11"/>
        <v>3174.2722942362484</v>
      </c>
      <c r="Q19" s="519">
        <f t="shared" si="12"/>
        <v>19088.544397267087</v>
      </c>
      <c r="R19" s="520">
        <f t="shared" si="13"/>
        <v>396.74947082898302</v>
      </c>
      <c r="S19" s="518">
        <f t="shared" si="14"/>
        <v>283.40321119272096</v>
      </c>
      <c r="T19" s="519">
        <f t="shared" si="15"/>
        <v>3174.2722942362484</v>
      </c>
      <c r="U19" s="519">
        <f t="shared" si="16"/>
        <v>22942.96937352504</v>
      </c>
      <c r="V19" s="3"/>
      <c r="W19" s="596">
        <f t="shared" si="17"/>
        <v>2009</v>
      </c>
      <c r="X19" s="1101">
        <f t="shared" si="18"/>
        <v>19088.544397267087</v>
      </c>
      <c r="Y19" s="1102">
        <f t="shared" si="19"/>
        <v>396.74947082898302</v>
      </c>
      <c r="Z19" s="1102">
        <f t="shared" si="20"/>
        <v>283.40321119272096</v>
      </c>
      <c r="AA19" s="1102">
        <f t="shared" si="21"/>
        <v>3174.2722942362484</v>
      </c>
      <c r="AB19" s="1144">
        <f t="shared" si="22"/>
        <v>22942.96937352504</v>
      </c>
      <c r="AC19" s="1102"/>
      <c r="AD19" s="1101">
        <f t="shared" si="23"/>
        <v>19088.544397267087</v>
      </c>
      <c r="AE19" s="1102">
        <f t="shared" si="24"/>
        <v>396.74947082898302</v>
      </c>
      <c r="AF19" s="1102">
        <f t="shared" si="25"/>
        <v>283.40321119272096</v>
      </c>
      <c r="AG19" s="1102">
        <f t="shared" si="26"/>
        <v>3174.2722942362484</v>
      </c>
      <c r="AH19" s="1144">
        <f t="shared" si="27"/>
        <v>22942.96937352504</v>
      </c>
      <c r="AI19" s="1424"/>
      <c r="AJ19" s="1101">
        <f t="shared" si="28"/>
        <v>19088.544397267087</v>
      </c>
      <c r="AK19" s="1102">
        <f t="shared" si="29"/>
        <v>396.74947082898302</v>
      </c>
      <c r="AL19" s="1102">
        <f t="shared" si="30"/>
        <v>283.40321119272096</v>
      </c>
      <c r="AM19" s="1102">
        <f t="shared" si="31"/>
        <v>3174.2722942362484</v>
      </c>
      <c r="AN19" s="1144">
        <f t="shared" si="32"/>
        <v>22942.96937352504</v>
      </c>
      <c r="AO19" s="1421"/>
      <c r="AP19" s="1101">
        <f t="shared" si="33"/>
        <v>19088.544397267087</v>
      </c>
      <c r="AQ19" s="1102">
        <f t="shared" si="34"/>
        <v>396.74947082898302</v>
      </c>
      <c r="AR19" s="1102">
        <f t="shared" si="35"/>
        <v>283.40321119272096</v>
      </c>
      <c r="AS19" s="1102">
        <f t="shared" si="36"/>
        <v>3174.2722942362484</v>
      </c>
      <c r="AT19" s="1144">
        <f t="shared" si="37"/>
        <v>22942.96937352504</v>
      </c>
      <c r="AU19" s="1416"/>
      <c r="AV19" s="1101">
        <f t="shared" si="38"/>
        <v>19088.544397267087</v>
      </c>
      <c r="AW19" s="1102">
        <f t="shared" si="39"/>
        <v>396.74947082898302</v>
      </c>
      <c r="AX19" s="1102">
        <f t="shared" si="40"/>
        <v>283.40321119272096</v>
      </c>
      <c r="AY19" s="1102">
        <f t="shared" si="41"/>
        <v>3174.2722942362484</v>
      </c>
      <c r="AZ19" s="1144">
        <f t="shared" si="42"/>
        <v>22942.96937352504</v>
      </c>
      <c r="BA19" s="1426"/>
      <c r="BB19" s="1101">
        <f t="shared" si="43"/>
        <v>19088.544397267087</v>
      </c>
      <c r="BC19" s="1102">
        <f t="shared" si="44"/>
        <v>396.74947082898302</v>
      </c>
      <c r="BD19" s="1102">
        <f t="shared" si="45"/>
        <v>283.40321119272096</v>
      </c>
      <c r="BE19" s="1102">
        <f t="shared" si="46"/>
        <v>3174.2722942362484</v>
      </c>
      <c r="BF19" s="1144">
        <f t="shared" si="47"/>
        <v>22942.96937352504</v>
      </c>
      <c r="BG19" s="1429"/>
      <c r="BH19" s="596">
        <f t="shared" si="48"/>
        <v>2009</v>
      </c>
      <c r="BI19" s="1102">
        <f>'Baseline data (from input)'!AZ65</f>
        <v>103.13203957236149</v>
      </c>
      <c r="BJ19" s="576">
        <f>'Baseline data (from input)'!BA65</f>
        <v>0.19067285515331228</v>
      </c>
      <c r="BK19" s="1103"/>
      <c r="BL19" s="1101">
        <f t="shared" si="49"/>
        <v>103.13203957236149</v>
      </c>
      <c r="BM19" s="576">
        <f t="shared" si="50"/>
        <v>0.19067285515331228</v>
      </c>
      <c r="BN19" s="1103"/>
      <c r="BO19" s="1102">
        <f t="shared" si="6"/>
        <v>103.13203957236149</v>
      </c>
      <c r="BP19" s="417">
        <f t="shared" si="6"/>
        <v>0.19067285515331228</v>
      </c>
      <c r="BQ19" s="1103"/>
      <c r="BR19" s="1101">
        <f>'Baseline data (from input)'!AZ65</f>
        <v>103.13203957236149</v>
      </c>
      <c r="BS19" s="417">
        <f>'Baseline data (from input)'!BA65</f>
        <v>0.19067285515331228</v>
      </c>
      <c r="BT19" s="1103"/>
      <c r="BU19" s="1102">
        <f t="shared" si="7"/>
        <v>103.13203957236149</v>
      </c>
      <c r="BV19" s="417">
        <f t="shared" si="7"/>
        <v>0.19067285515331228</v>
      </c>
      <c r="BW19" s="1103"/>
      <c r="BX19" s="1101">
        <f t="shared" si="51"/>
        <v>103.13203957236149</v>
      </c>
      <c r="BY19" s="417">
        <f t="shared" si="52"/>
        <v>0.19067285515331228</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19184.051761689574</v>
      </c>
      <c r="M20" s="3">
        <f t="shared" si="0"/>
        <v>0</v>
      </c>
      <c r="N20" s="419">
        <f t="shared" si="9"/>
        <v>456.56943386834331</v>
      </c>
      <c r="O20" s="518">
        <f t="shared" si="10"/>
        <v>289.10958635758124</v>
      </c>
      <c r="P20" s="419">
        <f t="shared" si="11"/>
        <v>3209.670707898656</v>
      </c>
      <c r="Q20" s="519">
        <f t="shared" si="12"/>
        <v>19184.051761689574</v>
      </c>
      <c r="R20" s="521">
        <f t="shared" si="13"/>
        <v>456.56943386834331</v>
      </c>
      <c r="S20" s="518">
        <f t="shared" si="14"/>
        <v>289.10958635758124</v>
      </c>
      <c r="T20" s="519">
        <f t="shared" si="15"/>
        <v>3209.670707898656</v>
      </c>
      <c r="U20" s="519">
        <f t="shared" si="16"/>
        <v>23139.401489814154</v>
      </c>
      <c r="V20" s="3"/>
      <c r="W20" s="596">
        <f t="shared" si="17"/>
        <v>2010</v>
      </c>
      <c r="X20" s="1101">
        <f t="shared" si="18"/>
        <v>19184.051761689574</v>
      </c>
      <c r="Y20" s="1102">
        <f t="shared" si="19"/>
        <v>456.56943386834331</v>
      </c>
      <c r="Z20" s="1102">
        <f t="shared" si="20"/>
        <v>289.10958635758124</v>
      </c>
      <c r="AA20" s="1102">
        <f t="shared" si="21"/>
        <v>3209.670707898656</v>
      </c>
      <c r="AB20" s="1144">
        <f t="shared" si="22"/>
        <v>23139.401489814154</v>
      </c>
      <c r="AC20" s="1102"/>
      <c r="AD20" s="1101">
        <f t="shared" si="23"/>
        <v>19184.051761689574</v>
      </c>
      <c r="AE20" s="1102">
        <f t="shared" si="24"/>
        <v>456.56943386834331</v>
      </c>
      <c r="AF20" s="1102">
        <f t="shared" si="25"/>
        <v>289.10958635758124</v>
      </c>
      <c r="AG20" s="1102">
        <f t="shared" si="26"/>
        <v>3209.670707898656</v>
      </c>
      <c r="AH20" s="1144">
        <f t="shared" si="27"/>
        <v>23139.401489814154</v>
      </c>
      <c r="AI20" s="1424"/>
      <c r="AJ20" s="1101">
        <f t="shared" si="28"/>
        <v>19184.051761689574</v>
      </c>
      <c r="AK20" s="1102">
        <f t="shared" si="29"/>
        <v>456.56943386834331</v>
      </c>
      <c r="AL20" s="1102">
        <f t="shared" si="30"/>
        <v>289.10958635758124</v>
      </c>
      <c r="AM20" s="1102">
        <f t="shared" si="31"/>
        <v>3209.670707898656</v>
      </c>
      <c r="AN20" s="1144">
        <f t="shared" si="32"/>
        <v>23139.401489814154</v>
      </c>
      <c r="AO20" s="1421"/>
      <c r="AP20" s="1101">
        <f t="shared" si="33"/>
        <v>19184.051761689574</v>
      </c>
      <c r="AQ20" s="1102">
        <f t="shared" si="34"/>
        <v>456.56943386834331</v>
      </c>
      <c r="AR20" s="1102">
        <f t="shared" si="35"/>
        <v>289.10958635758124</v>
      </c>
      <c r="AS20" s="1102">
        <f t="shared" si="36"/>
        <v>3209.670707898656</v>
      </c>
      <c r="AT20" s="1144">
        <f t="shared" si="37"/>
        <v>23139.401489814154</v>
      </c>
      <c r="AU20" s="1416"/>
      <c r="AV20" s="1101">
        <f t="shared" si="38"/>
        <v>19184.051761689574</v>
      </c>
      <c r="AW20" s="1102">
        <f t="shared" si="39"/>
        <v>456.56943386834331</v>
      </c>
      <c r="AX20" s="1102">
        <f t="shared" si="40"/>
        <v>289.10958635758124</v>
      </c>
      <c r="AY20" s="1102">
        <f t="shared" si="41"/>
        <v>3209.670707898656</v>
      </c>
      <c r="AZ20" s="1144">
        <f t="shared" si="42"/>
        <v>23139.401489814154</v>
      </c>
      <c r="BA20" s="1426"/>
      <c r="BB20" s="1101">
        <f t="shared" si="43"/>
        <v>19184.051761689574</v>
      </c>
      <c r="BC20" s="1102">
        <f t="shared" si="44"/>
        <v>456.56943386834331</v>
      </c>
      <c r="BD20" s="1102">
        <f t="shared" si="45"/>
        <v>289.10958635758124</v>
      </c>
      <c r="BE20" s="1102">
        <f t="shared" si="46"/>
        <v>3209.670707898656</v>
      </c>
      <c r="BF20" s="1144">
        <f t="shared" si="47"/>
        <v>23139.401489814154</v>
      </c>
      <c r="BG20" s="1429"/>
      <c r="BH20" s="596">
        <f t="shared" si="48"/>
        <v>2010</v>
      </c>
      <c r="BI20" s="1102">
        <f>'Baseline data (from input)'!AZ66</f>
        <v>104.75474037198225</v>
      </c>
      <c r="BJ20" s="576">
        <f>'Baseline data (from input)'!BA66</f>
        <v>0.20921897453514887</v>
      </c>
      <c r="BK20" s="1103"/>
      <c r="BL20" s="1101">
        <f t="shared" si="49"/>
        <v>104.75474037198225</v>
      </c>
      <c r="BM20" s="576">
        <f t="shared" si="50"/>
        <v>0.20921897453514887</v>
      </c>
      <c r="BN20" s="1103"/>
      <c r="BO20" s="1102">
        <f t="shared" si="6"/>
        <v>104.75474037198225</v>
      </c>
      <c r="BP20" s="417">
        <f t="shared" si="6"/>
        <v>0.20921897453514887</v>
      </c>
      <c r="BQ20" s="1103"/>
      <c r="BR20" s="1101">
        <f>'Baseline data (from input)'!AZ66</f>
        <v>104.75474037198225</v>
      </c>
      <c r="BS20" s="417">
        <f>'Baseline data (from input)'!BA66</f>
        <v>0.20921897453514887</v>
      </c>
      <c r="BT20" s="1103"/>
      <c r="BU20" s="1102">
        <f t="shared" si="7"/>
        <v>104.75474037198225</v>
      </c>
      <c r="BV20" s="417">
        <f t="shared" si="7"/>
        <v>0.20921897453514887</v>
      </c>
      <c r="BW20" s="1103"/>
      <c r="BX20" s="1101">
        <f t="shared" si="51"/>
        <v>104.75474037198225</v>
      </c>
      <c r="BY20" s="417">
        <f t="shared" si="52"/>
        <v>0.20921897453514887</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19161.774402560713</v>
      </c>
      <c r="M21" s="3">
        <f t="shared" si="0"/>
        <v>4.0576690966635187</v>
      </c>
      <c r="N21" s="419">
        <f t="shared" si="9"/>
        <v>483.3457968203079</v>
      </c>
      <c r="O21" s="518">
        <f t="shared" si="10"/>
        <v>301.9056170360725</v>
      </c>
      <c r="P21" s="419">
        <f t="shared" si="11"/>
        <v>3332.0204976663595</v>
      </c>
      <c r="Q21" s="519">
        <f t="shared" si="12"/>
        <v>19161.774402560713</v>
      </c>
      <c r="R21" s="521">
        <f t="shared" si="13"/>
        <v>487.40346591697141</v>
      </c>
      <c r="S21" s="518">
        <f t="shared" si="14"/>
        <v>301.9056170360725</v>
      </c>
      <c r="T21" s="519">
        <f t="shared" si="15"/>
        <v>3332.0204976663595</v>
      </c>
      <c r="U21" s="519">
        <f t="shared" si="16"/>
        <v>23283.103983180114</v>
      </c>
      <c r="V21" s="3"/>
      <c r="W21" s="596">
        <f t="shared" si="17"/>
        <v>2011</v>
      </c>
      <c r="X21" s="1101">
        <f t="shared" si="18"/>
        <v>19161.774402560713</v>
      </c>
      <c r="Y21" s="1102">
        <f t="shared" si="19"/>
        <v>487.40346591697141</v>
      </c>
      <c r="Z21" s="1102">
        <f t="shared" si="20"/>
        <v>301.9056170360725</v>
      </c>
      <c r="AA21" s="1102">
        <f t="shared" si="21"/>
        <v>3332.0204976663595</v>
      </c>
      <c r="AB21" s="1144">
        <f t="shared" si="22"/>
        <v>23283.103983180114</v>
      </c>
      <c r="AC21" s="1102"/>
      <c r="AD21" s="1101">
        <f t="shared" si="23"/>
        <v>19161.774402560713</v>
      </c>
      <c r="AE21" s="1102">
        <f t="shared" si="24"/>
        <v>487.40346591697141</v>
      </c>
      <c r="AF21" s="1102">
        <f t="shared" si="25"/>
        <v>301.9056170360725</v>
      </c>
      <c r="AG21" s="1102">
        <f t="shared" si="26"/>
        <v>3332.0204976663595</v>
      </c>
      <c r="AH21" s="1144">
        <f t="shared" si="27"/>
        <v>23283.103983180114</v>
      </c>
      <c r="AI21" s="1424"/>
      <c r="AJ21" s="1101">
        <f t="shared" si="28"/>
        <v>19161.774402560713</v>
      </c>
      <c r="AK21" s="1102">
        <f t="shared" si="29"/>
        <v>487.40346591697141</v>
      </c>
      <c r="AL21" s="1102">
        <f t="shared" si="30"/>
        <v>301.9056170360725</v>
      </c>
      <c r="AM21" s="1102">
        <f t="shared" si="31"/>
        <v>3332.0204976663595</v>
      </c>
      <c r="AN21" s="1144">
        <f t="shared" si="32"/>
        <v>23283.103983180114</v>
      </c>
      <c r="AO21" s="1421"/>
      <c r="AP21" s="1101">
        <f t="shared" si="33"/>
        <v>19161.774402560713</v>
      </c>
      <c r="AQ21" s="1102">
        <f t="shared" si="34"/>
        <v>487.40346591697141</v>
      </c>
      <c r="AR21" s="1102">
        <f t="shared" si="35"/>
        <v>301.9056170360725</v>
      </c>
      <c r="AS21" s="1102">
        <f t="shared" si="36"/>
        <v>3332.0204976663595</v>
      </c>
      <c r="AT21" s="1144">
        <f t="shared" si="37"/>
        <v>23283.103983180114</v>
      </c>
      <c r="AU21" s="1416"/>
      <c r="AV21" s="1101">
        <f t="shared" si="38"/>
        <v>19161.774402560713</v>
      </c>
      <c r="AW21" s="1102">
        <f t="shared" si="39"/>
        <v>487.40346591697141</v>
      </c>
      <c r="AX21" s="1102">
        <f t="shared" si="40"/>
        <v>301.9056170360725</v>
      </c>
      <c r="AY21" s="1102">
        <f t="shared" si="41"/>
        <v>3332.0204976663595</v>
      </c>
      <c r="AZ21" s="1144">
        <f t="shared" si="42"/>
        <v>23283.103983180114</v>
      </c>
      <c r="BA21" s="1426"/>
      <c r="BB21" s="1101">
        <f t="shared" si="43"/>
        <v>19161.774402560713</v>
      </c>
      <c r="BC21" s="1102">
        <f t="shared" si="44"/>
        <v>487.40346591697141</v>
      </c>
      <c r="BD21" s="1102">
        <f t="shared" si="45"/>
        <v>301.9056170360725</v>
      </c>
      <c r="BE21" s="1102">
        <f t="shared" si="46"/>
        <v>3332.0204976663595</v>
      </c>
      <c r="BF21" s="1144">
        <f t="shared" si="47"/>
        <v>23283.103983180114</v>
      </c>
      <c r="BG21" s="1429"/>
      <c r="BH21" s="596">
        <f t="shared" si="48"/>
        <v>2011</v>
      </c>
      <c r="BI21" s="1102">
        <f>'Baseline data (from input)'!AZ67</f>
        <v>107.34268074609309</v>
      </c>
      <c r="BJ21" s="576">
        <f>'Baseline data (from input)'!BA67</f>
        <v>0.22745568833101273</v>
      </c>
      <c r="BK21" s="1103"/>
      <c r="BL21" s="1101">
        <f t="shared" si="49"/>
        <v>107.34268074609309</v>
      </c>
      <c r="BM21" s="576">
        <f t="shared" si="50"/>
        <v>0.22745568833101273</v>
      </c>
      <c r="BN21" s="1103"/>
      <c r="BO21" s="1102">
        <f t="shared" si="6"/>
        <v>107.34268074609309</v>
      </c>
      <c r="BP21" s="417">
        <f t="shared" si="6"/>
        <v>0.22745568833101273</v>
      </c>
      <c r="BQ21" s="1103"/>
      <c r="BR21" s="1101">
        <f>'Baseline data (from input)'!AZ67</f>
        <v>107.34268074609309</v>
      </c>
      <c r="BS21" s="417">
        <f>'Baseline data (from input)'!BA67</f>
        <v>0.22745568833101273</v>
      </c>
      <c r="BT21" s="1103"/>
      <c r="BU21" s="1102">
        <f t="shared" si="7"/>
        <v>107.34268074609309</v>
      </c>
      <c r="BV21" s="417">
        <f t="shared" si="7"/>
        <v>0.22745568833101273</v>
      </c>
      <c r="BW21" s="1103"/>
      <c r="BX21" s="1101">
        <f t="shared" si="51"/>
        <v>107.34268074609309</v>
      </c>
      <c r="BY21" s="417">
        <f t="shared" si="52"/>
        <v>0.22745568833101273</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17">
        <f>'4D Wastewater treatment and dis'!AV119</f>
        <v>121.41922272207</v>
      </c>
      <c r="K22" s="3">
        <f>'4D Wastewater treatment and dis'!AW119</f>
        <v>2.6382989586250001</v>
      </c>
      <c r="L22" s="419">
        <f t="shared" si="8"/>
        <v>19042.492354796916</v>
      </c>
      <c r="M22" s="3">
        <f t="shared" si="0"/>
        <v>4.3708339876995232</v>
      </c>
      <c r="N22" s="419">
        <f t="shared" si="9"/>
        <v>534.05498706632102</v>
      </c>
      <c r="O22" s="518">
        <f t="shared" si="10"/>
        <v>306.05386884064137</v>
      </c>
      <c r="P22" s="419">
        <f t="shared" si="11"/>
        <v>3367.6763543372203</v>
      </c>
      <c r="Q22" s="519">
        <f t="shared" si="12"/>
        <v>19042.492354796916</v>
      </c>
      <c r="R22" s="521">
        <f t="shared" si="13"/>
        <v>538.4258210540205</v>
      </c>
      <c r="S22" s="518">
        <f t="shared" si="14"/>
        <v>306.05386884064137</v>
      </c>
      <c r="T22" s="519">
        <f t="shared" si="15"/>
        <v>3367.6763543372203</v>
      </c>
      <c r="U22" s="519">
        <f t="shared" si="16"/>
        <v>23254.6483990288</v>
      </c>
      <c r="V22" s="3"/>
      <c r="W22" s="596">
        <f t="shared" si="17"/>
        <v>2012</v>
      </c>
      <c r="X22" s="1101">
        <f t="shared" si="18"/>
        <v>19042.492354796916</v>
      </c>
      <c r="Y22" s="1102">
        <f t="shared" si="19"/>
        <v>538.4258210540205</v>
      </c>
      <c r="Z22" s="1102">
        <f t="shared" si="20"/>
        <v>306.05386884064137</v>
      </c>
      <c r="AA22" s="1102">
        <f t="shared" si="21"/>
        <v>3367.6763543372203</v>
      </c>
      <c r="AB22" s="1144">
        <f t="shared" si="22"/>
        <v>23254.6483990288</v>
      </c>
      <c r="AC22" s="1102"/>
      <c r="AD22" s="1101">
        <f t="shared" si="23"/>
        <v>19042.492354796916</v>
      </c>
      <c r="AE22" s="1102">
        <f t="shared" si="24"/>
        <v>538.4258210540205</v>
      </c>
      <c r="AF22" s="1102">
        <f t="shared" si="25"/>
        <v>306.05386884064137</v>
      </c>
      <c r="AG22" s="1102">
        <f t="shared" si="26"/>
        <v>3367.6763543372203</v>
      </c>
      <c r="AH22" s="1144">
        <f t="shared" si="27"/>
        <v>23254.6483990288</v>
      </c>
      <c r="AI22" s="1424"/>
      <c r="AJ22" s="1101">
        <f t="shared" si="28"/>
        <v>19042.492354796916</v>
      </c>
      <c r="AK22" s="1102">
        <f t="shared" si="29"/>
        <v>538.4258210540205</v>
      </c>
      <c r="AL22" s="1102">
        <f t="shared" si="30"/>
        <v>306.05386884064137</v>
      </c>
      <c r="AM22" s="1102">
        <f t="shared" si="31"/>
        <v>3367.6763543372203</v>
      </c>
      <c r="AN22" s="1144">
        <f t="shared" si="32"/>
        <v>23254.6483990288</v>
      </c>
      <c r="AO22" s="1421"/>
      <c r="AP22" s="1101">
        <f t="shared" si="33"/>
        <v>19042.492354796916</v>
      </c>
      <c r="AQ22" s="1102">
        <f t="shared" si="34"/>
        <v>538.4258210540205</v>
      </c>
      <c r="AR22" s="1102">
        <f t="shared" si="35"/>
        <v>306.05386884064137</v>
      </c>
      <c r="AS22" s="1102">
        <f t="shared" si="36"/>
        <v>3367.6763543372203</v>
      </c>
      <c r="AT22" s="1144">
        <f t="shared" si="37"/>
        <v>23254.6483990288</v>
      </c>
      <c r="AU22" s="1416"/>
      <c r="AV22" s="1101">
        <f t="shared" si="38"/>
        <v>19042.492354796916</v>
      </c>
      <c r="AW22" s="1102">
        <f t="shared" si="39"/>
        <v>538.4258210540205</v>
      </c>
      <c r="AX22" s="1102">
        <f t="shared" si="40"/>
        <v>306.05386884064137</v>
      </c>
      <c r="AY22" s="1102">
        <f t="shared" si="41"/>
        <v>3367.6763543372203</v>
      </c>
      <c r="AZ22" s="1144">
        <f t="shared" si="42"/>
        <v>23254.6483990288</v>
      </c>
      <c r="BA22" s="1426"/>
      <c r="BB22" s="1101">
        <f t="shared" si="43"/>
        <v>19042.492354796916</v>
      </c>
      <c r="BC22" s="1102">
        <f t="shared" si="44"/>
        <v>538.4258210540205</v>
      </c>
      <c r="BD22" s="1102">
        <f t="shared" si="45"/>
        <v>306.05386884064137</v>
      </c>
      <c r="BE22" s="1102">
        <f t="shared" si="46"/>
        <v>3367.6763543372203</v>
      </c>
      <c r="BF22" s="1144">
        <f t="shared" si="47"/>
        <v>23254.6483990288</v>
      </c>
      <c r="BG22" s="1429"/>
      <c r="BH22" s="596">
        <f t="shared" si="48"/>
        <v>2012</v>
      </c>
      <c r="BI22" s="1102">
        <f>'Baseline data (from input)'!AZ68</f>
        <v>108.38898584977827</v>
      </c>
      <c r="BJ22" s="576">
        <f>'Baseline data (from input)'!BA68</f>
        <v>0.24497296064530694</v>
      </c>
      <c r="BK22" s="1103"/>
      <c r="BL22" s="1101">
        <f t="shared" si="49"/>
        <v>108.38898584977827</v>
      </c>
      <c r="BM22" s="576">
        <f t="shared" si="50"/>
        <v>0.24497296064530694</v>
      </c>
      <c r="BN22" s="1103"/>
      <c r="BO22" s="1102">
        <f t="shared" si="6"/>
        <v>108.38898584977827</v>
      </c>
      <c r="BP22" s="417">
        <f t="shared" si="6"/>
        <v>0.24497296064530694</v>
      </c>
      <c r="BQ22" s="1103"/>
      <c r="BR22" s="1101">
        <f>'Baseline data (from input)'!AZ68</f>
        <v>108.38898584977827</v>
      </c>
      <c r="BS22" s="417">
        <f>'Baseline data (from input)'!BA68</f>
        <v>0.24497296064530694</v>
      </c>
      <c r="BT22" s="1103"/>
      <c r="BU22" s="1102">
        <f t="shared" si="7"/>
        <v>108.38898584977827</v>
      </c>
      <c r="BV22" s="417">
        <f t="shared" si="7"/>
        <v>0.24497296064530694</v>
      </c>
      <c r="BW22" s="1103"/>
      <c r="BX22" s="1101">
        <f t="shared" si="51"/>
        <v>108.38898584977827</v>
      </c>
      <c r="BY22" s="417">
        <f t="shared" si="52"/>
        <v>0.24497296064530694</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17">
        <f>'4D Wastewater treatment and dis'!AV120</f>
        <v>123.22687823091842</v>
      </c>
      <c r="K23" s="3">
        <f>'4D Wastewater treatment and dis'!AW120</f>
        <v>2.6775772173687913</v>
      </c>
      <c r="L23" s="419">
        <f t="shared" si="8"/>
        <v>18811.009746490032</v>
      </c>
      <c r="M23" s="3">
        <f t="shared" si="0"/>
        <v>4.6837025770171525</v>
      </c>
      <c r="N23" s="419">
        <f t="shared" si="9"/>
        <v>583.93532215791288</v>
      </c>
      <c r="O23" s="518">
        <f t="shared" si="10"/>
        <v>310.65162675346664</v>
      </c>
      <c r="P23" s="419">
        <f t="shared" si="11"/>
        <v>3417.813380233612</v>
      </c>
      <c r="Q23" s="519">
        <f t="shared" si="12"/>
        <v>18811.009746490032</v>
      </c>
      <c r="R23" s="521">
        <f t="shared" si="13"/>
        <v>588.61902473493001</v>
      </c>
      <c r="S23" s="518">
        <f t="shared" si="14"/>
        <v>310.65162675346664</v>
      </c>
      <c r="T23" s="519">
        <f t="shared" si="15"/>
        <v>3417.813380233612</v>
      </c>
      <c r="U23" s="519">
        <f t="shared" si="16"/>
        <v>23128.093778212042</v>
      </c>
      <c r="V23" s="3"/>
      <c r="W23" s="596">
        <f t="shared" si="17"/>
        <v>2013</v>
      </c>
      <c r="X23" s="1101">
        <f t="shared" si="18"/>
        <v>18811.009746490032</v>
      </c>
      <c r="Y23" s="1102">
        <f t="shared" si="19"/>
        <v>588.61902473493001</v>
      </c>
      <c r="Z23" s="1102">
        <f t="shared" si="20"/>
        <v>310.65162675346664</v>
      </c>
      <c r="AA23" s="1102">
        <f t="shared" si="21"/>
        <v>3417.813380233612</v>
      </c>
      <c r="AB23" s="1144">
        <f t="shared" si="22"/>
        <v>23128.093778212042</v>
      </c>
      <c r="AC23" s="1102"/>
      <c r="AD23" s="1101">
        <f t="shared" si="23"/>
        <v>18811.009746490032</v>
      </c>
      <c r="AE23" s="1102">
        <f t="shared" si="24"/>
        <v>588.61902473493001</v>
      </c>
      <c r="AF23" s="1102">
        <f t="shared" si="25"/>
        <v>310.65162675346664</v>
      </c>
      <c r="AG23" s="1102">
        <f t="shared" si="26"/>
        <v>3417.813380233612</v>
      </c>
      <c r="AH23" s="1144">
        <f t="shared" si="27"/>
        <v>23128.093778212042</v>
      </c>
      <c r="AI23" s="1424"/>
      <c r="AJ23" s="1101">
        <f t="shared" si="28"/>
        <v>18811.009746490032</v>
      </c>
      <c r="AK23" s="1102">
        <f t="shared" si="29"/>
        <v>588.61902473493001</v>
      </c>
      <c r="AL23" s="1102">
        <f t="shared" si="30"/>
        <v>310.65162675346664</v>
      </c>
      <c r="AM23" s="1102">
        <f t="shared" si="31"/>
        <v>3417.813380233612</v>
      </c>
      <c r="AN23" s="1144">
        <f t="shared" si="32"/>
        <v>23128.093778212042</v>
      </c>
      <c r="AO23" s="1421"/>
      <c r="AP23" s="1101">
        <f t="shared" si="33"/>
        <v>18811.009746490032</v>
      </c>
      <c r="AQ23" s="1102">
        <f t="shared" si="34"/>
        <v>588.61902473493001</v>
      </c>
      <c r="AR23" s="1102">
        <f t="shared" si="35"/>
        <v>310.65162675346664</v>
      </c>
      <c r="AS23" s="1102">
        <f t="shared" si="36"/>
        <v>3417.813380233612</v>
      </c>
      <c r="AT23" s="1144">
        <f t="shared" si="37"/>
        <v>23128.093778212042</v>
      </c>
      <c r="AU23" s="1416"/>
      <c r="AV23" s="1101">
        <f t="shared" si="38"/>
        <v>18811.009746490032</v>
      </c>
      <c r="AW23" s="1102">
        <f t="shared" si="39"/>
        <v>588.61902473493001</v>
      </c>
      <c r="AX23" s="1102">
        <f t="shared" si="40"/>
        <v>310.65162675346664</v>
      </c>
      <c r="AY23" s="1102">
        <f t="shared" si="41"/>
        <v>3417.813380233612</v>
      </c>
      <c r="AZ23" s="1144">
        <f t="shared" si="42"/>
        <v>23128.093778212042</v>
      </c>
      <c r="BA23" s="1426"/>
      <c r="BB23" s="1101">
        <f t="shared" si="43"/>
        <v>18811.009746490032</v>
      </c>
      <c r="BC23" s="1102">
        <f t="shared" si="44"/>
        <v>588.61902473493001</v>
      </c>
      <c r="BD23" s="1102">
        <f t="shared" si="45"/>
        <v>310.65162675346664</v>
      </c>
      <c r="BE23" s="1102">
        <f t="shared" si="46"/>
        <v>3417.813380233612</v>
      </c>
      <c r="BF23" s="1144">
        <f t="shared" si="47"/>
        <v>23128.093778212042</v>
      </c>
      <c r="BG23" s="1429"/>
      <c r="BH23" s="596">
        <f t="shared" si="48"/>
        <v>2013</v>
      </c>
      <c r="BI23" s="1102">
        <f>'Baseline data (from input)'!AZ69</f>
        <v>109.77957612966068</v>
      </c>
      <c r="BJ23" s="576">
        <f>'Baseline data (from input)'!BA69</f>
        <v>0.25418746923932545</v>
      </c>
      <c r="BK23" s="1103"/>
      <c r="BL23" s="1101">
        <f t="shared" si="49"/>
        <v>109.77957612966068</v>
      </c>
      <c r="BM23" s="576">
        <f t="shared" si="50"/>
        <v>0.25418746923932545</v>
      </c>
      <c r="BN23" s="1103"/>
      <c r="BO23" s="1102">
        <f t="shared" si="6"/>
        <v>109.77957612966068</v>
      </c>
      <c r="BP23" s="417">
        <f t="shared" si="6"/>
        <v>0.25418746923932545</v>
      </c>
      <c r="BQ23" s="1103"/>
      <c r="BR23" s="1101">
        <f>'Baseline data (from input)'!AZ69</f>
        <v>109.77957612966068</v>
      </c>
      <c r="BS23" s="417">
        <f>'Baseline data (from input)'!BA69</f>
        <v>0.25418746923932545</v>
      </c>
      <c r="BT23" s="1103"/>
      <c r="BU23" s="1102">
        <f t="shared" si="7"/>
        <v>109.77957612966068</v>
      </c>
      <c r="BV23" s="417">
        <f t="shared" si="7"/>
        <v>0.25418746923932545</v>
      </c>
      <c r="BW23" s="1103"/>
      <c r="BX23" s="1101">
        <f t="shared" si="51"/>
        <v>109.77957612966068</v>
      </c>
      <c r="BY23" s="417">
        <f t="shared" si="52"/>
        <v>0.25418746923932545</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17">
        <f>'4D Wastewater treatment and dis'!AV121</f>
        <v>125.10182771891525</v>
      </c>
      <c r="K24" s="3">
        <f>'4D Wastewater treatment and dis'!AW121</f>
        <v>2.7183176962712094</v>
      </c>
      <c r="L24" s="419">
        <f t="shared" si="8"/>
        <v>18548.08471471896</v>
      </c>
      <c r="M24" s="3">
        <f t="shared" si="0"/>
        <v>4.967256111584283</v>
      </c>
      <c r="N24" s="419">
        <f t="shared" si="9"/>
        <v>629.94063207540466</v>
      </c>
      <c r="O24" s="518">
        <f t="shared" si="10"/>
        <v>314.51680959429882</v>
      </c>
      <c r="P24" s="419">
        <f t="shared" si="11"/>
        <v>3469.8168679412947</v>
      </c>
      <c r="Q24" s="519">
        <f t="shared" si="12"/>
        <v>18548.08471471896</v>
      </c>
      <c r="R24" s="521">
        <f t="shared" si="13"/>
        <v>634.907888186989</v>
      </c>
      <c r="S24" s="518">
        <f t="shared" si="14"/>
        <v>314.51680959429882</v>
      </c>
      <c r="T24" s="519">
        <f t="shared" si="15"/>
        <v>3469.8168679412947</v>
      </c>
      <c r="U24" s="519">
        <f t="shared" si="16"/>
        <v>22967.326280441543</v>
      </c>
      <c r="V24" s="3"/>
      <c r="W24" s="596">
        <f t="shared" si="17"/>
        <v>2014</v>
      </c>
      <c r="X24" s="1101">
        <f t="shared" si="18"/>
        <v>18548.08471471896</v>
      </c>
      <c r="Y24" s="1102">
        <f t="shared" si="19"/>
        <v>634.907888186989</v>
      </c>
      <c r="Z24" s="1102">
        <f t="shared" si="20"/>
        <v>314.51680959429882</v>
      </c>
      <c r="AA24" s="1102">
        <f t="shared" si="21"/>
        <v>3469.8168679412947</v>
      </c>
      <c r="AB24" s="1144">
        <f t="shared" si="22"/>
        <v>22967.326280441543</v>
      </c>
      <c r="AC24" s="1102"/>
      <c r="AD24" s="1101">
        <f t="shared" si="23"/>
        <v>18548.08471471896</v>
      </c>
      <c r="AE24" s="1102">
        <f t="shared" si="24"/>
        <v>634.907888186989</v>
      </c>
      <c r="AF24" s="1102">
        <f t="shared" si="25"/>
        <v>314.51680959429882</v>
      </c>
      <c r="AG24" s="1102">
        <f t="shared" si="26"/>
        <v>3469.8168679412947</v>
      </c>
      <c r="AH24" s="1144">
        <f t="shared" si="27"/>
        <v>22967.326280441543</v>
      </c>
      <c r="AI24" s="1424"/>
      <c r="AJ24" s="1101">
        <f t="shared" si="28"/>
        <v>18548.08471471896</v>
      </c>
      <c r="AK24" s="1102">
        <f t="shared" si="29"/>
        <v>634.907888186989</v>
      </c>
      <c r="AL24" s="1102">
        <f t="shared" si="30"/>
        <v>314.51680959429882</v>
      </c>
      <c r="AM24" s="1102">
        <f t="shared" si="31"/>
        <v>3469.8168679412947</v>
      </c>
      <c r="AN24" s="1144">
        <f t="shared" si="32"/>
        <v>22967.326280441543</v>
      </c>
      <c r="AO24" s="1421"/>
      <c r="AP24" s="1101">
        <f t="shared" si="33"/>
        <v>18548.08471471896</v>
      </c>
      <c r="AQ24" s="1102">
        <f t="shared" si="34"/>
        <v>634.907888186989</v>
      </c>
      <c r="AR24" s="1102">
        <f t="shared" si="35"/>
        <v>314.51680959429882</v>
      </c>
      <c r="AS24" s="1102">
        <f t="shared" si="36"/>
        <v>3469.8168679412947</v>
      </c>
      <c r="AT24" s="1144">
        <f t="shared" si="37"/>
        <v>22967.326280441543</v>
      </c>
      <c r="AU24" s="1416"/>
      <c r="AV24" s="1101">
        <f t="shared" si="38"/>
        <v>18548.08471471896</v>
      </c>
      <c r="AW24" s="1102">
        <f t="shared" si="39"/>
        <v>634.907888186989</v>
      </c>
      <c r="AX24" s="1102">
        <f t="shared" si="40"/>
        <v>314.51680959429882</v>
      </c>
      <c r="AY24" s="1102">
        <f t="shared" si="41"/>
        <v>3469.8168679412947</v>
      </c>
      <c r="AZ24" s="1144">
        <f t="shared" si="42"/>
        <v>22967.326280441543</v>
      </c>
      <c r="BA24" s="1426"/>
      <c r="BB24" s="1101">
        <f t="shared" si="43"/>
        <v>18548.08471471896</v>
      </c>
      <c r="BC24" s="1102">
        <f t="shared" si="44"/>
        <v>634.907888186989</v>
      </c>
      <c r="BD24" s="1102">
        <f t="shared" si="45"/>
        <v>314.51680959429882</v>
      </c>
      <c r="BE24" s="1102">
        <f t="shared" si="46"/>
        <v>3469.8168679412947</v>
      </c>
      <c r="BF24" s="1144">
        <f t="shared" si="47"/>
        <v>22967.326280441543</v>
      </c>
      <c r="BG24" s="1429"/>
      <c r="BH24" s="596">
        <f t="shared" si="48"/>
        <v>2014</v>
      </c>
      <c r="BI24" s="1102">
        <f>'Baseline data (from input)'!AZ70</f>
        <v>110.70541702268824</v>
      </c>
      <c r="BJ24" s="576">
        <f>'Baseline data (from input)'!BA70</f>
        <v>0.26286468030220433</v>
      </c>
      <c r="BK24" s="1103"/>
      <c r="BL24" s="1101">
        <f t="shared" si="49"/>
        <v>110.70541702268824</v>
      </c>
      <c r="BM24" s="576">
        <f t="shared" si="50"/>
        <v>0.26286468030220433</v>
      </c>
      <c r="BN24" s="1103"/>
      <c r="BO24" s="1102">
        <f t="shared" si="6"/>
        <v>110.70541702268824</v>
      </c>
      <c r="BP24" s="417">
        <f t="shared" si="6"/>
        <v>0.26286468030220433</v>
      </c>
      <c r="BQ24" s="1103"/>
      <c r="BR24" s="1101">
        <f>'Baseline data (from input)'!AZ70</f>
        <v>110.70541702268824</v>
      </c>
      <c r="BS24" s="417">
        <f>'Baseline data (from input)'!BA70</f>
        <v>0.26286468030220433</v>
      </c>
      <c r="BT24" s="1103"/>
      <c r="BU24" s="1102">
        <f t="shared" si="7"/>
        <v>110.70541702268824</v>
      </c>
      <c r="BV24" s="417">
        <f t="shared" si="7"/>
        <v>0.26286468030220433</v>
      </c>
      <c r="BW24" s="1103"/>
      <c r="BX24" s="1101">
        <f t="shared" si="51"/>
        <v>110.70541702268824</v>
      </c>
      <c r="BY24" s="417">
        <f t="shared" si="52"/>
        <v>0.26286468030220433</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17">
        <f>'4D Wastewater treatment and dis'!AV122</f>
        <v>127.04639166810001</v>
      </c>
      <c r="K25" s="3">
        <f>'4D Wastewater treatment and dis'!AW122</f>
        <v>2.7605708167170335</v>
      </c>
      <c r="L25" s="419">
        <f t="shared" si="8"/>
        <v>18255.774711912381</v>
      </c>
      <c r="M25" s="3">
        <f t="shared" si="0"/>
        <v>5.2197628890272894</v>
      </c>
      <c r="N25" s="419">
        <f t="shared" si="9"/>
        <v>671.86393651970388</v>
      </c>
      <c r="O25" s="518">
        <f t="shared" si="10"/>
        <v>317.61320692281578</v>
      </c>
      <c r="P25" s="419">
        <f t="shared" si="11"/>
        <v>3523.7511782123806</v>
      </c>
      <c r="Q25" s="519">
        <f t="shared" si="12"/>
        <v>18255.774711912381</v>
      </c>
      <c r="R25" s="521">
        <f t="shared" si="13"/>
        <v>677.08369940873115</v>
      </c>
      <c r="S25" s="518">
        <f t="shared" si="14"/>
        <v>317.61320692281578</v>
      </c>
      <c r="T25" s="519">
        <f t="shared" si="15"/>
        <v>3523.7511782123806</v>
      </c>
      <c r="U25" s="519">
        <f t="shared" si="16"/>
        <v>22774.222796456306</v>
      </c>
      <c r="V25" s="3"/>
      <c r="W25" s="596">
        <f t="shared" si="17"/>
        <v>2015</v>
      </c>
      <c r="X25" s="1101">
        <f t="shared" si="18"/>
        <v>18255.774711912381</v>
      </c>
      <c r="Y25" s="1102">
        <f t="shared" si="19"/>
        <v>677.08369940873115</v>
      </c>
      <c r="Z25" s="1102">
        <f t="shared" si="20"/>
        <v>317.61320692281578</v>
      </c>
      <c r="AA25" s="1102">
        <f t="shared" si="21"/>
        <v>3523.7511782123806</v>
      </c>
      <c r="AB25" s="1144">
        <f t="shared" si="22"/>
        <v>22774.222796456306</v>
      </c>
      <c r="AC25" s="1102"/>
      <c r="AD25" s="1101">
        <f t="shared" si="23"/>
        <v>18255.774711912381</v>
      </c>
      <c r="AE25" s="1102">
        <f t="shared" si="24"/>
        <v>677.08369940873115</v>
      </c>
      <c r="AF25" s="1102">
        <f t="shared" si="25"/>
        <v>317.61320692281578</v>
      </c>
      <c r="AG25" s="1102">
        <f t="shared" si="26"/>
        <v>3523.7511782123806</v>
      </c>
      <c r="AH25" s="1144">
        <f t="shared" si="27"/>
        <v>22774.222796456306</v>
      </c>
      <c r="AI25" s="1424"/>
      <c r="AJ25" s="1101">
        <f t="shared" si="28"/>
        <v>18255.774711912381</v>
      </c>
      <c r="AK25" s="1102">
        <f t="shared" si="29"/>
        <v>677.08369940873115</v>
      </c>
      <c r="AL25" s="1102">
        <f t="shared" si="30"/>
        <v>317.61320692281578</v>
      </c>
      <c r="AM25" s="1102">
        <f t="shared" si="31"/>
        <v>3523.7511782123806</v>
      </c>
      <c r="AN25" s="1144">
        <f t="shared" si="32"/>
        <v>22774.222796456306</v>
      </c>
      <c r="AO25" s="1421"/>
      <c r="AP25" s="1101">
        <f t="shared" si="33"/>
        <v>18255.774711912381</v>
      </c>
      <c r="AQ25" s="1102">
        <f t="shared" si="34"/>
        <v>677.08369940873115</v>
      </c>
      <c r="AR25" s="1102">
        <f t="shared" si="35"/>
        <v>317.61320692281578</v>
      </c>
      <c r="AS25" s="1102">
        <f t="shared" si="36"/>
        <v>3523.7511782123806</v>
      </c>
      <c r="AT25" s="1144">
        <f t="shared" si="37"/>
        <v>22774.222796456306</v>
      </c>
      <c r="AU25" s="1416"/>
      <c r="AV25" s="1101">
        <f t="shared" si="38"/>
        <v>18255.774711912381</v>
      </c>
      <c r="AW25" s="1102">
        <f t="shared" si="39"/>
        <v>677.08369940873115</v>
      </c>
      <c r="AX25" s="1102">
        <f t="shared" si="40"/>
        <v>317.61320692281578</v>
      </c>
      <c r="AY25" s="1102">
        <f t="shared" si="41"/>
        <v>3523.7511782123806</v>
      </c>
      <c r="AZ25" s="1144">
        <f t="shared" si="42"/>
        <v>22774.222796456306</v>
      </c>
      <c r="BA25" s="1426"/>
      <c r="BB25" s="1101">
        <f t="shared" si="43"/>
        <v>18255.774711912381</v>
      </c>
      <c r="BC25" s="1102">
        <f t="shared" si="44"/>
        <v>677.08369940873115</v>
      </c>
      <c r="BD25" s="1102">
        <f t="shared" si="45"/>
        <v>317.61320692281578</v>
      </c>
      <c r="BE25" s="1102">
        <f t="shared" si="46"/>
        <v>3523.7511782123806</v>
      </c>
      <c r="BF25" s="1144">
        <f t="shared" si="47"/>
        <v>22774.222796456306</v>
      </c>
      <c r="BG25" s="1429"/>
      <c r="BH25" s="596">
        <f t="shared" si="48"/>
        <v>2015</v>
      </c>
      <c r="BI25" s="1102">
        <f>'Baseline data (from input)'!AZ71</f>
        <v>111.13164279983746</v>
      </c>
      <c r="BJ25" s="576">
        <f>'Baseline data (from input)'!BA71</f>
        <v>0.27112279064447498</v>
      </c>
      <c r="BK25" s="1103"/>
      <c r="BL25" s="1101">
        <f t="shared" si="49"/>
        <v>111.13164279983746</v>
      </c>
      <c r="BM25" s="576">
        <f t="shared" si="50"/>
        <v>0.27112279064447498</v>
      </c>
      <c r="BN25" s="1103"/>
      <c r="BO25" s="1102">
        <f t="shared" si="6"/>
        <v>111.13164279983746</v>
      </c>
      <c r="BP25" s="417">
        <f t="shared" si="6"/>
        <v>0.27112279064447498</v>
      </c>
      <c r="BQ25" s="1103"/>
      <c r="BR25" s="1101">
        <f>'Baseline data (from input)'!AZ71</f>
        <v>111.13164279983746</v>
      </c>
      <c r="BS25" s="417">
        <f>'Baseline data (from input)'!BA71</f>
        <v>0.27112279064447498</v>
      </c>
      <c r="BT25" s="1103"/>
      <c r="BU25" s="1102">
        <f t="shared" si="7"/>
        <v>111.13164279983746</v>
      </c>
      <c r="BV25" s="417">
        <f t="shared" si="7"/>
        <v>0.27112279064447498</v>
      </c>
      <c r="BW25" s="1103"/>
      <c r="BX25" s="1101">
        <f t="shared" si="51"/>
        <v>111.13164279983746</v>
      </c>
      <c r="BY25" s="417">
        <f t="shared" si="52"/>
        <v>0.27112279064447498</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17">
        <f>'4D Wastewater treatment and dis'!AV123</f>
        <v>129.06521104255199</v>
      </c>
      <c r="K26" s="3">
        <f>'4D Wastewater treatment and dis'!AW123</f>
        <v>2.8044374214758245</v>
      </c>
      <c r="L26" s="419">
        <f t="shared" si="8"/>
        <v>17936.020956703142</v>
      </c>
      <c r="M26" s="3">
        <f t="shared" ref="M26:M27" si="53">D26*$B$3</f>
        <v>5.4434745377092693</v>
      </c>
      <c r="N26" s="419">
        <f t="shared" si="9"/>
        <v>709.83500782762371</v>
      </c>
      <c r="O26" s="518">
        <f t="shared" si="10"/>
        <v>319.90724608551255</v>
      </c>
      <c r="P26" s="419">
        <f t="shared" si="11"/>
        <v>3579.7450325510972</v>
      </c>
      <c r="Q26" s="519">
        <f t="shared" si="12"/>
        <v>17936.020956703142</v>
      </c>
      <c r="R26" s="521">
        <f t="shared" si="13"/>
        <v>715.27848236533293</v>
      </c>
      <c r="S26" s="518">
        <f t="shared" si="14"/>
        <v>319.90724608551255</v>
      </c>
      <c r="T26" s="519">
        <f t="shared" si="15"/>
        <v>3579.7450325510972</v>
      </c>
      <c r="U26" s="519">
        <f t="shared" si="16"/>
        <v>22550.951717705088</v>
      </c>
      <c r="V26" s="3"/>
      <c r="W26" s="596">
        <f t="shared" si="17"/>
        <v>2016</v>
      </c>
      <c r="X26" s="1101">
        <f t="shared" si="18"/>
        <v>17936.020956703142</v>
      </c>
      <c r="Y26" s="1102">
        <f t="shared" si="19"/>
        <v>715.27848236533293</v>
      </c>
      <c r="Z26" s="1102">
        <f t="shared" si="20"/>
        <v>319.90724608551255</v>
      </c>
      <c r="AA26" s="1102">
        <f t="shared" si="21"/>
        <v>3579.7450325510972</v>
      </c>
      <c r="AB26" s="1144">
        <f t="shared" si="22"/>
        <v>22550.951717705088</v>
      </c>
      <c r="AC26" s="1102"/>
      <c r="AD26" s="1101">
        <f t="shared" si="23"/>
        <v>17936.020956703142</v>
      </c>
      <c r="AE26" s="1102">
        <f t="shared" si="24"/>
        <v>715.27848236533293</v>
      </c>
      <c r="AF26" s="1102">
        <f t="shared" si="25"/>
        <v>319.90724608551255</v>
      </c>
      <c r="AG26" s="1102">
        <f t="shared" si="26"/>
        <v>3579.7450325510972</v>
      </c>
      <c r="AH26" s="1144">
        <f t="shared" si="27"/>
        <v>22550.951717705088</v>
      </c>
      <c r="AI26" s="1424"/>
      <c r="AJ26" s="1101">
        <f t="shared" si="28"/>
        <v>17936.020956703142</v>
      </c>
      <c r="AK26" s="1102">
        <f t="shared" si="29"/>
        <v>715.27848236533293</v>
      </c>
      <c r="AL26" s="1102">
        <f t="shared" si="30"/>
        <v>319.90724608551255</v>
      </c>
      <c r="AM26" s="1102">
        <f t="shared" si="31"/>
        <v>3579.7450325510972</v>
      </c>
      <c r="AN26" s="1144">
        <f t="shared" si="32"/>
        <v>22550.951717705088</v>
      </c>
      <c r="AO26" s="1421"/>
      <c r="AP26" s="1101">
        <f t="shared" si="33"/>
        <v>17936.020956703142</v>
      </c>
      <c r="AQ26" s="1102">
        <f t="shared" si="34"/>
        <v>715.27848236533293</v>
      </c>
      <c r="AR26" s="1102">
        <f t="shared" si="35"/>
        <v>319.90724608551255</v>
      </c>
      <c r="AS26" s="1102">
        <f t="shared" si="36"/>
        <v>3579.7450325510972</v>
      </c>
      <c r="AT26" s="1144">
        <f t="shared" si="37"/>
        <v>22550.951717705088</v>
      </c>
      <c r="AU26" s="1417"/>
      <c r="AV26" s="1101">
        <f t="shared" si="38"/>
        <v>17936.020956703142</v>
      </c>
      <c r="AW26" s="1102">
        <f t="shared" si="39"/>
        <v>715.27848236533293</v>
      </c>
      <c r="AX26" s="1102">
        <f t="shared" si="40"/>
        <v>319.90724608551255</v>
      </c>
      <c r="AY26" s="1102">
        <f t="shared" si="41"/>
        <v>3579.7450325510972</v>
      </c>
      <c r="AZ26" s="1144">
        <f t="shared" si="42"/>
        <v>22550.951717705088</v>
      </c>
      <c r="BA26" s="1426"/>
      <c r="BB26" s="1101">
        <f t="shared" si="43"/>
        <v>17936.020956703142</v>
      </c>
      <c r="BC26" s="1102">
        <f t="shared" si="44"/>
        <v>715.27848236533293</v>
      </c>
      <c r="BD26" s="1102">
        <f t="shared" si="45"/>
        <v>319.90724608551255</v>
      </c>
      <c r="BE26" s="1102">
        <f t="shared" si="46"/>
        <v>3579.7450325510972</v>
      </c>
      <c r="BF26" s="1144">
        <f t="shared" si="47"/>
        <v>22550.951717705088</v>
      </c>
      <c r="BG26" s="1429"/>
      <c r="BH26" s="596">
        <f t="shared" si="48"/>
        <v>2016</v>
      </c>
      <c r="BI26" s="1102">
        <f>'Baseline data (from input)'!AZ72</f>
        <v>111.14657212336705</v>
      </c>
      <c r="BJ26" s="576">
        <f>'Baseline data (from input)'!BA72</f>
        <v>0.27900772765592857</v>
      </c>
      <c r="BK26" s="1103"/>
      <c r="BL26" s="1101">
        <f t="shared" si="49"/>
        <v>111.14657212336705</v>
      </c>
      <c r="BM26" s="576">
        <f t="shared" si="50"/>
        <v>0.27900772765592857</v>
      </c>
      <c r="BN26" s="1103"/>
      <c r="BO26" s="1102">
        <f t="shared" si="6"/>
        <v>111.14657212336705</v>
      </c>
      <c r="BP26" s="417">
        <f t="shared" si="6"/>
        <v>0.27900772765592857</v>
      </c>
      <c r="BQ26" s="1103"/>
      <c r="BR26" s="1101">
        <f>'Baseline data (from input)'!AZ73</f>
        <v>111.48217523856577</v>
      </c>
      <c r="BS26" s="417">
        <f>'Baseline data (from input)'!BA72</f>
        <v>0.27900772765592857</v>
      </c>
      <c r="BT26" s="1103"/>
      <c r="BU26" s="1102">
        <f t="shared" si="7"/>
        <v>111.14657212336705</v>
      </c>
      <c r="BV26" s="417">
        <f t="shared" si="7"/>
        <v>0.27900772765592857</v>
      </c>
      <c r="BW26" s="1103"/>
      <c r="BX26" s="1101">
        <f>BU26</f>
        <v>111.14657212336705</v>
      </c>
      <c r="BY26" s="417">
        <f>BV26</f>
        <v>0.27900772765592857</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837.66056689593597</v>
      </c>
      <c r="D27" s="515">
        <f>'4B Biological treatment '!T80</f>
        <v>0.26959364327954449</v>
      </c>
      <c r="E27" s="472">
        <f>'4B Biological treatment '!U80</f>
        <v>18.83172011155672</v>
      </c>
      <c r="F27" s="472">
        <f>'4B Biological treatment '!W80</f>
        <v>1.1299032066934032</v>
      </c>
      <c r="G27" s="515">
        <f>'4C2 Open-burning '!R87</f>
        <v>33.762512225589745</v>
      </c>
      <c r="H27" s="515">
        <f>'4C2 Open-burning '!Z87</f>
        <v>11.360051712019837</v>
      </c>
      <c r="I27" s="515">
        <f>'4C2 Open-burning '!AH87</f>
        <v>0.15815109346628189</v>
      </c>
      <c r="J27" s="986">
        <f>'4D Wastewater treatment and dis'!AV124</f>
        <v>131.15828584227123</v>
      </c>
      <c r="K27" s="515">
        <f>'4D Wastewater treatment and dis'!AW124</f>
        <v>2.8499175105475834</v>
      </c>
      <c r="L27" s="471">
        <f t="shared" si="8"/>
        <v>17590.871904814656</v>
      </c>
      <c r="M27" s="515">
        <f t="shared" si="53"/>
        <v>5.6614665088704346</v>
      </c>
      <c r="N27" s="471">
        <f t="shared" si="9"/>
        <v>745.73611641764614</v>
      </c>
      <c r="O27" s="514">
        <f t="shared" si="10"/>
        <v>321.35043715255375</v>
      </c>
      <c r="P27" s="471">
        <f t="shared" si="11"/>
        <v>3637.7984309574467</v>
      </c>
      <c r="Q27" s="471">
        <f t="shared" si="12"/>
        <v>17590.871904814656</v>
      </c>
      <c r="R27" s="517">
        <f t="shared" si="13"/>
        <v>751.39758292651663</v>
      </c>
      <c r="S27" s="514">
        <f t="shared" si="14"/>
        <v>321.35043715255375</v>
      </c>
      <c r="T27" s="471">
        <f t="shared" si="15"/>
        <v>3637.7984309574467</v>
      </c>
      <c r="U27" s="471">
        <f t="shared" si="16"/>
        <v>22301.418355851172</v>
      </c>
      <c r="V27" s="3"/>
      <c r="W27" s="596">
        <f t="shared" si="17"/>
        <v>2017</v>
      </c>
      <c r="X27" s="1101">
        <f t="shared" si="18"/>
        <v>17590.871904814656</v>
      </c>
      <c r="Y27" s="1102">
        <f t="shared" si="19"/>
        <v>751.39758292651663</v>
      </c>
      <c r="Z27" s="1102">
        <f t="shared" si="20"/>
        <v>321.35043715255375</v>
      </c>
      <c r="AA27" s="1102">
        <f t="shared" si="21"/>
        <v>3637.7984309574467</v>
      </c>
      <c r="AB27" s="1144">
        <f t="shared" si="22"/>
        <v>22301.418355851172</v>
      </c>
      <c r="AC27" s="1102"/>
      <c r="AD27" s="1101">
        <f>Q27</f>
        <v>17590.871904814656</v>
      </c>
      <c r="AE27" s="1102">
        <f t="shared" si="24"/>
        <v>751.39758292651663</v>
      </c>
      <c r="AF27" s="1102">
        <f t="shared" si="25"/>
        <v>321.35043715255375</v>
      </c>
      <c r="AG27" s="1102">
        <f t="shared" si="26"/>
        <v>3637.7984309574467</v>
      </c>
      <c r="AH27" s="1144">
        <f>SUM(AD27:AG27)</f>
        <v>22301.418355851172</v>
      </c>
      <c r="AI27" s="1424"/>
      <c r="AJ27" s="1101">
        <f t="shared" si="28"/>
        <v>17590.871904814656</v>
      </c>
      <c r="AK27" s="1102">
        <f t="shared" si="29"/>
        <v>751.39758292651663</v>
      </c>
      <c r="AL27" s="1102">
        <f t="shared" si="30"/>
        <v>321.35043715255375</v>
      </c>
      <c r="AM27" s="1102">
        <f t="shared" si="31"/>
        <v>3637.7984309574467</v>
      </c>
      <c r="AN27" s="1144">
        <f t="shared" si="32"/>
        <v>22301.418355851172</v>
      </c>
      <c r="AO27" s="1421"/>
      <c r="AP27" s="1101">
        <f t="shared" ref="AP27" si="54">Q27</f>
        <v>17590.871904814656</v>
      </c>
      <c r="AQ27" s="1102">
        <f t="shared" ref="AQ27" si="55">R27</f>
        <v>751.39758292651663</v>
      </c>
      <c r="AR27" s="1102">
        <f t="shared" ref="AR27" si="56">S27</f>
        <v>321.35043715255375</v>
      </c>
      <c r="AS27" s="1102">
        <f t="shared" ref="AS27" si="57">T27</f>
        <v>3637.7984309574467</v>
      </c>
      <c r="AT27" s="1144">
        <f t="shared" si="37"/>
        <v>22301.418355851172</v>
      </c>
      <c r="AU27" s="1417"/>
      <c r="AV27" s="1101">
        <f t="shared" si="38"/>
        <v>17590.871904814656</v>
      </c>
      <c r="AW27" s="1102">
        <f t="shared" si="39"/>
        <v>751.39758292651663</v>
      </c>
      <c r="AX27" s="1102">
        <f t="shared" si="40"/>
        <v>321.35043715255375</v>
      </c>
      <c r="AY27" s="1102">
        <f t="shared" si="41"/>
        <v>3637.7984309574467</v>
      </c>
      <c r="AZ27" s="1144">
        <f t="shared" si="42"/>
        <v>22301.418355851172</v>
      </c>
      <c r="BA27" s="1426"/>
      <c r="BB27" s="1101">
        <f t="shared" si="43"/>
        <v>17590.871904814656</v>
      </c>
      <c r="BC27" s="1102">
        <f t="shared" si="44"/>
        <v>751.39758292651663</v>
      </c>
      <c r="BD27" s="1102">
        <f t="shared" si="45"/>
        <v>321.35043715255375</v>
      </c>
      <c r="BE27" s="1102">
        <f t="shared" si="46"/>
        <v>3637.7984309574467</v>
      </c>
      <c r="BF27" s="1144">
        <f t="shared" si="47"/>
        <v>22301.418355851172</v>
      </c>
      <c r="BG27" s="1429"/>
      <c r="BH27" s="596">
        <f t="shared" si="48"/>
        <v>2017</v>
      </c>
      <c r="BI27" s="1102">
        <f>'Recycling - Case 1'!BV97</f>
        <v>111.48217523856577</v>
      </c>
      <c r="BJ27" s="417">
        <f>'Recycling - Case 1'!BW97</f>
        <v>0.28613027236389205</v>
      </c>
      <c r="BK27" s="1144">
        <f>'Recycling - Case 1'!BX97</f>
        <v>49.995050999999997</v>
      </c>
      <c r="BL27" s="1101">
        <f>'Recycling - Case 1'!BY97</f>
        <v>111.48217523856577</v>
      </c>
      <c r="BM27" s="576">
        <f>'Recycling - Case 1'!BZ97</f>
        <v>0.28613027236389205</v>
      </c>
      <c r="BN27" s="1144">
        <f>'Recycling - Case 1'!CA97</f>
        <v>49.995050999999997</v>
      </c>
      <c r="BO27" s="1102">
        <f>'Recycling - Case 2'!BV97</f>
        <v>111.48217523856577</v>
      </c>
      <c r="BP27" s="417">
        <f>'Recycling - Case 2'!BW97</f>
        <v>0.28613027236389205</v>
      </c>
      <c r="BQ27" s="1144">
        <f>'Recycling - Case 2'!BX97</f>
        <v>49.995050999999997</v>
      </c>
      <c r="BR27" s="1101">
        <f>'Recycling - Case 2'!BY97</f>
        <v>111.48217523856577</v>
      </c>
      <c r="BS27" s="417">
        <f>'Recycling - Case 2'!BZ97</f>
        <v>0.28613027236389205</v>
      </c>
      <c r="BT27" s="1144">
        <f>'Recycling - Case 2'!CA97</f>
        <v>49.995050999999997</v>
      </c>
      <c r="BU27" s="1102">
        <f>'Recycling - Case 3'!BV97</f>
        <v>111.48217523856577</v>
      </c>
      <c r="BV27" s="417">
        <f>'Recycling - Case 3'!BW97</f>
        <v>0.28613027236389205</v>
      </c>
      <c r="BW27" s="1144">
        <f>'Recycling - Case 3'!BX97</f>
        <v>49.995050999999997</v>
      </c>
      <c r="BX27" s="1101">
        <f>'Recycling - Case 3'!BY97</f>
        <v>111.48217523856577</v>
      </c>
      <c r="BY27" s="417">
        <f>'Recycling - Case 3'!BZ97</f>
        <v>0.28613027236389205</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5"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17223.550074345865</v>
      </c>
      <c r="Y28" s="1102">
        <f t="shared" ref="Y28:AA28" si="58">R29</f>
        <v>813.57691281012262</v>
      </c>
      <c r="Z28" s="1102">
        <f t="shared" si="58"/>
        <v>313.0509913817462</v>
      </c>
      <c r="AA28" s="1102">
        <f t="shared" si="58"/>
        <v>3728.7332085559019</v>
      </c>
      <c r="AB28" s="1144">
        <f t="shared" si="22"/>
        <v>22078.911187093639</v>
      </c>
      <c r="AC28" s="1425" t="str">
        <f>IF(OR('Recycling - Case 1'!AC98="No",'Recycling - Case 1'!T138="No"), "No", "Yes")</f>
        <v>Yes</v>
      </c>
      <c r="AD28" s="1101">
        <f>Q63</f>
        <v>17223.550074345865</v>
      </c>
      <c r="AE28" s="1102">
        <f t="shared" ref="AE28:AG28" si="59">R63</f>
        <v>813.57691281012262</v>
      </c>
      <c r="AF28" s="1102">
        <f t="shared" si="59"/>
        <v>313.0509913817462</v>
      </c>
      <c r="AG28" s="1102">
        <f t="shared" si="59"/>
        <v>3728.7332085559019</v>
      </c>
      <c r="AH28" s="1144">
        <f t="shared" ref="AH28:AH60" si="60">SUM(AD28:AG28)</f>
        <v>22078.911187093639</v>
      </c>
      <c r="AI28" s="1425" t="str">
        <f>IF(OR('Recycling - Case 1'!AC98="No",'Recycling - Case 1'!T178="No"), "No", "Yes")</f>
        <v>Yes</v>
      </c>
      <c r="AJ28" s="1101">
        <f>Q97</f>
        <v>17223.550074345865</v>
      </c>
      <c r="AK28" s="1102">
        <f t="shared" ref="AK28:AN28" si="61">R97</f>
        <v>813.57691281012262</v>
      </c>
      <c r="AL28" s="1102">
        <f t="shared" si="61"/>
        <v>313.3036342128031</v>
      </c>
      <c r="AM28" s="1102">
        <f t="shared" si="61"/>
        <v>3778.1317472739725</v>
      </c>
      <c r="AN28" s="1144">
        <f t="shared" si="61"/>
        <v>22128.562368642764</v>
      </c>
      <c r="AO28" s="1418" t="str">
        <f>IF(OR('Recycling - Case 2'!AC98="No",'Recycling - Case 2'!T138="No"), "No", "Yes")</f>
        <v>Yes</v>
      </c>
      <c r="AP28" s="1101">
        <f>Q131</f>
        <v>17223.550074345865</v>
      </c>
      <c r="AQ28" s="1102">
        <f t="shared" ref="AQ28:AS28" si="62">R131</f>
        <v>813.57691281012262</v>
      </c>
      <c r="AR28" s="1102">
        <f t="shared" si="62"/>
        <v>313.3036342128031</v>
      </c>
      <c r="AS28" s="1102">
        <f t="shared" si="62"/>
        <v>3778.1317472739725</v>
      </c>
      <c r="AT28" s="1144">
        <f t="shared" si="37"/>
        <v>22128.562368642764</v>
      </c>
      <c r="AU28" s="1425" t="str">
        <f>IF(OR('Recycling - Case 2'!AC98="No",'Recycling - Case 2'!T178="No"), "No", "Yes")</f>
        <v>Yes</v>
      </c>
      <c r="AV28" s="1101">
        <f t="shared" ref="AV28:AV60" si="63">Q165</f>
        <v>17223.550074345865</v>
      </c>
      <c r="AW28" s="1102">
        <f t="shared" ref="AW28:AW60" si="64">R165</f>
        <v>751.33122577178574</v>
      </c>
      <c r="AX28" s="1102">
        <f t="shared" ref="AX28:AX60" si="65">S165</f>
        <v>313.3036342128031</v>
      </c>
      <c r="AY28" s="1102">
        <f t="shared" ref="AY28:AY60" si="66">T165</f>
        <v>3778.1317472739725</v>
      </c>
      <c r="AZ28" s="1144">
        <f t="shared" ref="AZ28:AZ60" si="67">U165</f>
        <v>22066.316681604425</v>
      </c>
      <c r="BA28" s="1425" t="str">
        <f>IF(OR('Recycling - Case 3'!AC98="No",'Recycling - Case 3'!T138="No"), "No", "Yes")</f>
        <v>Yes</v>
      </c>
      <c r="BB28" s="1101">
        <f>Q199</f>
        <v>17223.550074345865</v>
      </c>
      <c r="BC28" s="1102">
        <f t="shared" ref="BC28:BE28" si="68">R199</f>
        <v>751.33122577178574</v>
      </c>
      <c r="BD28" s="1102">
        <f t="shared" si="68"/>
        <v>313.3036342128031</v>
      </c>
      <c r="BE28" s="1102">
        <f t="shared" si="68"/>
        <v>3778.1317472739725</v>
      </c>
      <c r="BF28" s="1144">
        <f t="shared" si="47"/>
        <v>22066.316681604425</v>
      </c>
      <c r="BG28" s="1425" t="str">
        <f>IF(OR('Recycling - Case 3'!AC98="No",'Recycling - Case 3'!T178="No"), "No", "Yes")</f>
        <v>Yes</v>
      </c>
      <c r="BH28" s="596">
        <f t="shared" si="48"/>
        <v>2018</v>
      </c>
      <c r="BI28" s="1102">
        <f>'Recycling - Case 1'!BV98</f>
        <v>108.28006728803635</v>
      </c>
      <c r="BJ28" s="417">
        <f>'Recycling - Case 1'!BW98</f>
        <v>0.30318140871594546</v>
      </c>
      <c r="BK28" s="1144">
        <f>'Recycling - Case 1'!BX98</f>
        <v>50.172070130067617</v>
      </c>
      <c r="BL28" s="1101">
        <f>'Recycling - Case 1'!BY98</f>
        <v>108.28006728803635</v>
      </c>
      <c r="BM28" s="576">
        <f>'Recycling - Case 1'!BZ98</f>
        <v>0.30318140871594546</v>
      </c>
      <c r="BN28" s="1144">
        <f>'Recycling - Case 1'!CA98</f>
        <v>50.172070130067617</v>
      </c>
      <c r="BO28" s="1102">
        <f>'Recycling - Case 2'!BV98</f>
        <v>108.7554268120047</v>
      </c>
      <c r="BP28" s="417">
        <f>'Recycling - Case 2'!BW98</f>
        <v>0.31213800301919209</v>
      </c>
      <c r="BQ28" s="1144">
        <f>'Recycling - Case 2'!BX98</f>
        <v>50.172070130067617</v>
      </c>
      <c r="BR28" s="1101">
        <f>'Recycling - Case 2'!BY98</f>
        <v>108.7554268120047</v>
      </c>
      <c r="BS28" s="417">
        <f>'Recycling - Case 2'!BZ98</f>
        <v>0.31213800301919209</v>
      </c>
      <c r="BT28" s="1144">
        <f>'Recycling - Case 2'!CA98</f>
        <v>50.172070130067617</v>
      </c>
      <c r="BU28" s="1102">
        <f>'Recycling - Case 3'!BV98</f>
        <v>108.7554268120047</v>
      </c>
      <c r="BV28" s="417">
        <f>'Recycling - Case 3'!BW98</f>
        <v>0.31213800301919209</v>
      </c>
      <c r="BW28" s="1144">
        <f>'Recycling - Case 3'!BX98</f>
        <v>50.172070130067617</v>
      </c>
      <c r="BX28" s="1101">
        <f>'Recycling - Case 3'!BY98</f>
        <v>108.7554268120047</v>
      </c>
      <c r="BY28" s="417">
        <f>'Recycling - Case 3'!BZ98</f>
        <v>0.31213800301919209</v>
      </c>
      <c r="BZ28" s="1144">
        <f>'Recycling - Case 3'!CA98</f>
        <v>50.172070130067617</v>
      </c>
      <c r="CA28" s="596">
        <v>2018</v>
      </c>
      <c r="CB28" s="649">
        <f>'Recycling - Case 1'!CB98</f>
        <v>2.3712106199973881E-2</v>
      </c>
      <c r="CC28" s="417">
        <f>'Recycling - Case 1'!CC98</f>
        <v>4.0541690060924451E-2</v>
      </c>
      <c r="CD28" s="417">
        <f>'Recycling - Case 1'!CD98</f>
        <v>2.3712106199973881E-2</v>
      </c>
      <c r="CE28" s="525">
        <f>'Recycling - Case 1'!CE98</f>
        <v>4.0541690060924451E-2</v>
      </c>
      <c r="CF28" s="649">
        <f>'Recycling - Case 2'!CB98</f>
        <v>2.3097279906837076E-2</v>
      </c>
      <c r="CG28" s="417">
        <f>'Recycling - Case 2'!CC98</f>
        <v>3.5313693110914368E-2</v>
      </c>
      <c r="CH28" s="417">
        <f>'Recycling - Case 2'!CD98</f>
        <v>2.3097279906837076E-2</v>
      </c>
      <c r="CI28" s="525">
        <f>'Recycling - Case 2'!CE98</f>
        <v>3.5313693110914368E-2</v>
      </c>
      <c r="CJ28" s="649">
        <f>'Recycling - Case 3'!CB98</f>
        <v>2.3097279906837076E-2</v>
      </c>
      <c r="CK28" s="417">
        <f>'Recycling - Case 3'!CC98</f>
        <v>3.5313693110914368E-2</v>
      </c>
      <c r="CL28" s="417">
        <f>'Recycling - Case 3'!CD98</f>
        <v>2.3097279906837076E-2</v>
      </c>
      <c r="CM28" s="525">
        <f>'Recycling - Case 3'!CE98</f>
        <v>3.5313693110914368E-2</v>
      </c>
    </row>
    <row r="29" spans="1:91">
      <c r="A29" s="1430">
        <f>'Input data'!A118</f>
        <v>2018</v>
      </c>
      <c r="B29" s="1430"/>
      <c r="C29" s="1431">
        <f>'4A SWD Case 1'!BG88</f>
        <v>820.16905115932695</v>
      </c>
      <c r="D29" s="515">
        <f>'4B Biological treatment '!T82</f>
        <v>0.32094742419140376</v>
      </c>
      <c r="E29" s="1432">
        <f>'4B Biological treatment '!U82</f>
        <v>20.374672143992505</v>
      </c>
      <c r="F29" s="1432">
        <f>'4B Biological treatment '!W82</f>
        <v>1.2224803286395503</v>
      </c>
      <c r="G29" s="515">
        <f>'4C2 Open-burning '!R89</f>
        <v>32.890535383779863</v>
      </c>
      <c r="H29" s="515">
        <f>'4C2 Open-burning '!Z89</f>
        <v>11.066658200646708</v>
      </c>
      <c r="I29" s="515">
        <f>'4C2 Open-burning '!AH89</f>
        <v>0.15406656059479179</v>
      </c>
      <c r="J29" s="1433">
        <f>'4D Wastewater treatment and dis'!AV126</f>
        <v>134.80820881535828</v>
      </c>
      <c r="K29" s="1434">
        <f>'4D Wastewater treatment and dis'!AW126</f>
        <v>2.8960026562367029</v>
      </c>
      <c r="L29" s="1435">
        <f t="shared" ref="L29:L61" si="69">C29*$B$3</f>
        <v>17223.550074345865</v>
      </c>
      <c r="M29" s="1434">
        <f t="shared" ref="M29:M61" si="70">D29*$B$3</f>
        <v>6.7398959080194789</v>
      </c>
      <c r="N29" s="1435">
        <f t="shared" ref="N29:N61" si="71">E29*$B$3+F29*$C$3</f>
        <v>806.83701690210319</v>
      </c>
      <c r="O29" s="1431">
        <f t="shared" ref="O29:O61" si="72">G29+H29*$B$3+I29*$C$3</f>
        <v>313.0509913817462</v>
      </c>
      <c r="P29" s="1435">
        <f t="shared" ref="P29:P61" si="73">J29*$B$3+K29*$C$3</f>
        <v>3728.7332085559019</v>
      </c>
      <c r="Q29" s="471">
        <f t="shared" ref="Q29:Q125" si="74">L29</f>
        <v>17223.550074345865</v>
      </c>
      <c r="R29" s="517">
        <f t="shared" ref="R29:R125" si="75">M29+N29</f>
        <v>813.57691281012262</v>
      </c>
      <c r="S29" s="514">
        <f t="shared" ref="S29:S125" si="76">O29</f>
        <v>313.0509913817462</v>
      </c>
      <c r="T29" s="471">
        <f t="shared" ref="T29:T125" si="77">P29</f>
        <v>3728.7332085559019</v>
      </c>
      <c r="U29" s="471">
        <f t="shared" ref="U29:U125" si="78">SUM(Q29:T29)</f>
        <v>22078.911187093639</v>
      </c>
      <c r="V29" s="3"/>
      <c r="W29" s="596">
        <f t="shared" ref="W29:W60" si="79">A30</f>
        <v>2019</v>
      </c>
      <c r="X29" s="1101">
        <f t="shared" ref="X29:X60" si="80">Q30</f>
        <v>16828.18966496758</v>
      </c>
      <c r="Y29" s="1102">
        <f t="shared" ref="Y29:Y60" si="81">R30</f>
        <v>866.33557153011941</v>
      </c>
      <c r="Z29" s="1102">
        <f t="shared" ref="Z29:Z60" si="82">S30</f>
        <v>304.92237183137161</v>
      </c>
      <c r="AA29" s="1102">
        <f t="shared" ref="AA29:AA60" si="83">T30</f>
        <v>3821.6720946853429</v>
      </c>
      <c r="AB29" s="1144">
        <f t="shared" si="22"/>
        <v>21821.119703014414</v>
      </c>
      <c r="AC29" s="1425" t="str">
        <f>IF(OR('Recycling - Case 1'!AC99="No",'Recycling - Case 1'!T139="No"), "No", "Yes")</f>
        <v>Yes</v>
      </c>
      <c r="AD29" s="1101">
        <f t="shared" ref="AD29:AD60" si="84">Q64</f>
        <v>16828.18966496758</v>
      </c>
      <c r="AE29" s="1102">
        <f t="shared" ref="AE29:AE60" si="85">R64</f>
        <v>866.33557153011941</v>
      </c>
      <c r="AF29" s="1102">
        <f t="shared" ref="AF29:AF60" si="86">S64</f>
        <v>304.92237183137161</v>
      </c>
      <c r="AG29" s="1102">
        <f t="shared" ref="AG29:AG60" si="87">T64</f>
        <v>3821.6720946853429</v>
      </c>
      <c r="AH29" s="1144">
        <f t="shared" si="60"/>
        <v>21821.119703014414</v>
      </c>
      <c r="AI29" s="1425" t="str">
        <f>IF(OR('Recycling - Case 1'!AI10="No",'Recycling - Case 1'!Z139="No"), "No", "Yes")</f>
        <v>Yes</v>
      </c>
      <c r="AJ29" s="1101">
        <f t="shared" ref="AJ29:AJ60" si="88">Q98</f>
        <v>16834.054423063324</v>
      </c>
      <c r="AK29" s="1102">
        <f t="shared" ref="AK29:AK60" si="89">R98</f>
        <v>866.33557153011941</v>
      </c>
      <c r="AL29" s="1102">
        <f t="shared" ref="AL29:AL60" si="90">S98</f>
        <v>307.81416965744336</v>
      </c>
      <c r="AM29" s="1102">
        <f t="shared" ref="AM29:AM60" si="91">T98</f>
        <v>3922.0671678896119</v>
      </c>
      <c r="AN29" s="1144">
        <f t="shared" ref="AN29:AN60" si="92">U98</f>
        <v>21930.271332140495</v>
      </c>
      <c r="AO29" s="1418" t="str">
        <f>IF(OR('Recycling - Case 2'!AC99="No",'Recycling - Case 2'!T139="No"), "No", "Yes")</f>
        <v>Yes</v>
      </c>
      <c r="AP29" s="1101">
        <f t="shared" ref="AP29:AP60" si="93">Q132</f>
        <v>16834.054423063324</v>
      </c>
      <c r="AQ29" s="1102">
        <f t="shared" ref="AQ29:AQ60" si="94">R132</f>
        <v>866.33557153011941</v>
      </c>
      <c r="AR29" s="1102">
        <f t="shared" ref="AR29:AR60" si="95">S132</f>
        <v>307.81416965744336</v>
      </c>
      <c r="AS29" s="1102">
        <f t="shared" ref="AS29:AS60" si="96">T132</f>
        <v>3922.0671678896119</v>
      </c>
      <c r="AT29" s="1144">
        <f t="shared" si="37"/>
        <v>21930.271332140495</v>
      </c>
      <c r="AU29" s="1425" t="str">
        <f>IF(OR('Recycling - Case 2'!AC99="No",'Recycling - Case 2'!T179="No"), "No", "Yes")</f>
        <v>Yes</v>
      </c>
      <c r="AV29" s="1101">
        <f t="shared" si="63"/>
        <v>16834.06200274171</v>
      </c>
      <c r="AW29" s="1102">
        <f t="shared" si="64"/>
        <v>732.93511709773986</v>
      </c>
      <c r="AX29" s="1102">
        <f t="shared" si="65"/>
        <v>307.81416965744336</v>
      </c>
      <c r="AY29" s="1102">
        <f t="shared" si="66"/>
        <v>3922.0671678896119</v>
      </c>
      <c r="AZ29" s="1144">
        <f t="shared" si="67"/>
        <v>21796.878457386501</v>
      </c>
      <c r="BA29" s="1425" t="str">
        <f>IF(OR('Recycling - Case 3'!AC99="No",'Recycling - Case 3'!T139="No"), "No", "Yes")</f>
        <v>Yes</v>
      </c>
      <c r="BB29" s="1101">
        <f t="shared" ref="BB29:BB60" si="97">Q200</f>
        <v>16834.06200274171</v>
      </c>
      <c r="BC29" s="1102">
        <f t="shared" ref="BC29:BC60" si="98">R200</f>
        <v>732.93511709773986</v>
      </c>
      <c r="BD29" s="1102">
        <f t="shared" ref="BD29:BD60" si="99">S200</f>
        <v>307.81416965744336</v>
      </c>
      <c r="BE29" s="1102">
        <f t="shared" ref="BE29:BE60" si="100">T200</f>
        <v>3922.0671678896119</v>
      </c>
      <c r="BF29" s="1144">
        <f t="shared" si="47"/>
        <v>21796.878457386501</v>
      </c>
      <c r="BG29" s="1425" t="str">
        <f>IF(OR('Recycling - Case 3'!AC99="No",'Recycling - Case 3'!T179="No"), "No", "Yes")</f>
        <v>Yes</v>
      </c>
      <c r="BH29" s="596">
        <f t="shared" si="48"/>
        <v>2019</v>
      </c>
      <c r="BI29" s="1102">
        <f>'Recycling - Case 1'!BV99</f>
        <v>105.21077375423089</v>
      </c>
      <c r="BJ29" s="417">
        <f>'Recycling - Case 1'!BW99</f>
        <v>0.32008929644867795</v>
      </c>
      <c r="BK29" s="1144">
        <f>'Recycling - Case 1'!BX99</f>
        <v>49.847473415971187</v>
      </c>
      <c r="BL29" s="1101">
        <f>'Recycling - Case 1'!BY99</f>
        <v>105.21077375423089</v>
      </c>
      <c r="BM29" s="576">
        <f>'Recycling - Case 1'!BZ99</f>
        <v>0.32008929644867795</v>
      </c>
      <c r="BN29" s="1144">
        <f>'Recycling - Case 1'!CA99</f>
        <v>49.847473415971187</v>
      </c>
      <c r="BO29" s="1102">
        <f>'Recycling - Case 2'!BV99</f>
        <v>106.72699670564646</v>
      </c>
      <c r="BP29" s="417">
        <f>'Recycling - Case 2'!BW99</f>
        <v>0.33634844273691999</v>
      </c>
      <c r="BQ29" s="1144">
        <f>'Recycling - Case 2'!BX99</f>
        <v>49.847473415971187</v>
      </c>
      <c r="BR29" s="1101">
        <f>'Recycling - Case 2'!BY99</f>
        <v>106.72699670564646</v>
      </c>
      <c r="BS29" s="417">
        <f>'Recycling - Case 2'!BZ99</f>
        <v>0.33634844273691999</v>
      </c>
      <c r="BT29" s="1144">
        <f>'Recycling - Case 2'!CA99</f>
        <v>49.847473415971187</v>
      </c>
      <c r="BU29" s="1102">
        <f>'Recycling - Case 3'!BV99</f>
        <v>106.72699670564646</v>
      </c>
      <c r="BV29" s="417">
        <f>'Recycling - Case 3'!BW99</f>
        <v>0.33634844273691999</v>
      </c>
      <c r="BW29" s="1144">
        <f>'Recycling - Case 3'!BX99</f>
        <v>49.847473415971187</v>
      </c>
      <c r="BX29" s="1101">
        <f>'Recycling - Case 3'!BY99</f>
        <v>106.72699670564646</v>
      </c>
      <c r="BY29" s="417">
        <f>'Recycling - Case 3'!BZ99</f>
        <v>0.33634844273691999</v>
      </c>
      <c r="BZ29" s="1144">
        <f>'Recycling - Case 3'!CA99</f>
        <v>49.847473415971187</v>
      </c>
      <c r="CA29" s="596">
        <v>2019</v>
      </c>
      <c r="CB29" s="649">
        <f>'Recycling - Case 1'!CB99</f>
        <v>4.7767778545469874E-2</v>
      </c>
      <c r="CC29" s="417">
        <f>'Recycling - Case 1'!CC99</f>
        <v>7.3007136209731427E-2</v>
      </c>
      <c r="CD29" s="417">
        <f>'Recycling - Case 1'!CD99</f>
        <v>4.7767778545469874E-2</v>
      </c>
      <c r="CE29" s="525">
        <f>'Recycling - Case 1'!CE99</f>
        <v>7.3007136209731427E-2</v>
      </c>
      <c r="CF29" s="649">
        <f>'Recycling - Case 2'!CB99</f>
        <v>4.2262775008130249E-2</v>
      </c>
      <c r="CG29" s="417">
        <f>'Recycling - Case 2'!CC99</f>
        <v>5.7337149546160315E-2</v>
      </c>
      <c r="CH29" s="417">
        <f>'Recycling - Case 2'!CD99</f>
        <v>4.2262775008130249E-2</v>
      </c>
      <c r="CI29" s="525">
        <f>'Recycling - Case 2'!CE99</f>
        <v>5.7337149546160315E-2</v>
      </c>
      <c r="CJ29" s="649">
        <f>'Recycling - Case 3'!CB99</f>
        <v>4.2262775008130249E-2</v>
      </c>
      <c r="CK29" s="417">
        <f>'Recycling - Case 3'!CC99</f>
        <v>5.7337149546160315E-2</v>
      </c>
      <c r="CL29" s="417">
        <f>'Recycling - Case 3'!CD99</f>
        <v>4.2262775008130249E-2</v>
      </c>
      <c r="CM29" s="525">
        <f>'Recycling - Case 3'!CE99</f>
        <v>5.7337149546160315E-2</v>
      </c>
    </row>
    <row r="30" spans="1:91">
      <c r="A30" s="4">
        <f>'Input data'!A119</f>
        <v>2019</v>
      </c>
      <c r="B30" s="4"/>
      <c r="C30" s="769">
        <f>'4A SWD Case 1'!BG89</f>
        <v>801.34236499845622</v>
      </c>
      <c r="D30" s="3">
        <f>'4B Biological treatment '!T83</f>
        <v>0.37478585972226036</v>
      </c>
      <c r="E30" s="1159">
        <f>'4B Biological treatment '!U83</f>
        <v>21.678410820099796</v>
      </c>
      <c r="F30" s="1159">
        <f>'4B Biological treatment '!W83</f>
        <v>1.3007046492059877</v>
      </c>
      <c r="G30" s="952">
        <f>'4C2 Open-burning '!R90</f>
        <v>32.036506307676866</v>
      </c>
      <c r="H30" s="952">
        <f>'4C2 Open-burning '!Z90</f>
        <v>10.779303562956411</v>
      </c>
      <c r="I30" s="952">
        <f>'4C2 Open-burning '!AH90</f>
        <v>0.15006609903745199</v>
      </c>
      <c r="J30" s="987">
        <f>'4D Wastewater treatment and dis'!AV127</f>
        <v>138.54240079281473</v>
      </c>
      <c r="K30" s="770">
        <f>'4D Wastewater treatment and dis'!AW127</f>
        <v>2.9428441226975277</v>
      </c>
      <c r="L30" s="771">
        <f t="shared" si="69"/>
        <v>16828.18966496758</v>
      </c>
      <c r="M30" s="772">
        <f t="shared" si="70"/>
        <v>7.8705030541674672</v>
      </c>
      <c r="N30" s="771">
        <f t="shared" si="71"/>
        <v>858.46506847595197</v>
      </c>
      <c r="O30" s="773">
        <f t="shared" si="72"/>
        <v>304.92237183137161</v>
      </c>
      <c r="P30" s="771">
        <f t="shared" si="73"/>
        <v>3821.6720946853429</v>
      </c>
      <c r="Q30" s="519">
        <f t="shared" si="74"/>
        <v>16828.18966496758</v>
      </c>
      <c r="R30" s="521">
        <f t="shared" si="75"/>
        <v>866.33557153011941</v>
      </c>
      <c r="S30" s="518">
        <f t="shared" si="76"/>
        <v>304.92237183137161</v>
      </c>
      <c r="T30" s="519">
        <f t="shared" si="77"/>
        <v>3821.6720946853429</v>
      </c>
      <c r="U30" s="519">
        <f t="shared" si="78"/>
        <v>21821.119703014414</v>
      </c>
      <c r="V30" s="3"/>
      <c r="W30" s="596">
        <f t="shared" si="79"/>
        <v>2020</v>
      </c>
      <c r="X30" s="1101">
        <f t="shared" si="80"/>
        <v>16413.248060107166</v>
      </c>
      <c r="Y30" s="1102">
        <f t="shared" si="81"/>
        <v>898.06787260051499</v>
      </c>
      <c r="Z30" s="1102">
        <f t="shared" si="82"/>
        <v>296.95933006288686</v>
      </c>
      <c r="AA30" s="1102">
        <f t="shared" si="83"/>
        <v>3916.6402461682742</v>
      </c>
      <c r="AB30" s="1144">
        <f t="shared" si="22"/>
        <v>21524.915508938841</v>
      </c>
      <c r="AC30" s="1425" t="str">
        <f>IF(OR('Recycling - Case 1'!AC100="No",'Recycling - Case 1'!T140="No"), "No", "Yes")</f>
        <v>Yes</v>
      </c>
      <c r="AD30" s="1101">
        <f t="shared" si="84"/>
        <v>16413.248060107166</v>
      </c>
      <c r="AE30" s="1102">
        <f t="shared" si="85"/>
        <v>898.06787260051499</v>
      </c>
      <c r="AF30" s="1102">
        <f t="shared" si="86"/>
        <v>296.95933006288686</v>
      </c>
      <c r="AG30" s="1102">
        <f t="shared" si="87"/>
        <v>3916.6402461682742</v>
      </c>
      <c r="AH30" s="1144">
        <f t="shared" si="60"/>
        <v>21524.915508938841</v>
      </c>
      <c r="AI30" s="1425" t="str">
        <f>IF(OR('Recycling - Case 1'!AI11="No",'Recycling - Case 1'!Z140="No"), "No", "Yes")</f>
        <v>Yes</v>
      </c>
      <c r="AJ30" s="1101">
        <f t="shared" si="88"/>
        <v>16434.916140695343</v>
      </c>
      <c r="AK30" s="1102">
        <f t="shared" si="89"/>
        <v>953.52764192926736</v>
      </c>
      <c r="AL30" s="1102">
        <f t="shared" si="90"/>
        <v>299.52422241648264</v>
      </c>
      <c r="AM30" s="1102">
        <f t="shared" si="91"/>
        <v>4069.6685524307268</v>
      </c>
      <c r="AN30" s="1144">
        <f t="shared" si="92"/>
        <v>21757.636557471822</v>
      </c>
      <c r="AO30" s="1418" t="str">
        <f>IF(OR('Recycling - Case 2'!AC100="No",'Recycling - Case 2'!T140="No"), "No", "Yes")</f>
        <v>Yes</v>
      </c>
      <c r="AP30" s="1101">
        <f t="shared" si="93"/>
        <v>16434.916140695343</v>
      </c>
      <c r="AQ30" s="1102">
        <f t="shared" si="94"/>
        <v>953.52764192926736</v>
      </c>
      <c r="AR30" s="1102">
        <f t="shared" si="95"/>
        <v>299.52422241648264</v>
      </c>
      <c r="AS30" s="1102">
        <f t="shared" si="96"/>
        <v>4069.6685524307268</v>
      </c>
      <c r="AT30" s="1144">
        <f t="shared" si="37"/>
        <v>21757.636557471822</v>
      </c>
      <c r="AU30" s="1425" t="str">
        <f>IF(OR('Recycling - Case 2'!AC100="No",'Recycling - Case 2'!T180="No"), "No", "Yes")</f>
        <v>Yes</v>
      </c>
      <c r="AV30" s="1101">
        <f t="shared" si="63"/>
        <v>16434.938683519787</v>
      </c>
      <c r="AW30" s="1102">
        <f t="shared" si="64"/>
        <v>731.95057586399832</v>
      </c>
      <c r="AX30" s="1102">
        <f t="shared" si="65"/>
        <v>299.52422241648264</v>
      </c>
      <c r="AY30" s="1102">
        <f t="shared" si="66"/>
        <v>4069.6685524307268</v>
      </c>
      <c r="AZ30" s="1144">
        <f t="shared" si="67"/>
        <v>21536.082034230996</v>
      </c>
      <c r="BA30" s="1425" t="str">
        <f>IF(OR('Recycling - Case 3'!AC100="No",'Recycling - Case 3'!T140="No"), "No", "Yes")</f>
        <v>Yes</v>
      </c>
      <c r="BB30" s="1101">
        <f t="shared" si="97"/>
        <v>16434.938683519787</v>
      </c>
      <c r="BC30" s="1102">
        <f t="shared" si="98"/>
        <v>731.95057586399832</v>
      </c>
      <c r="BD30" s="1102">
        <f t="shared" si="99"/>
        <v>299.52422241648264</v>
      </c>
      <c r="BE30" s="1102">
        <f t="shared" si="100"/>
        <v>4069.6685524307268</v>
      </c>
      <c r="BF30" s="1144">
        <f t="shared" si="47"/>
        <v>21536.082034230996</v>
      </c>
      <c r="BG30" s="1425" t="str">
        <f>IF(OR('Recycling - Case 3'!AC100="No",'Recycling - Case 3'!T180="No"), "No", "Yes")</f>
        <v>Yes</v>
      </c>
      <c r="BH30" s="596">
        <f t="shared" si="48"/>
        <v>2020</v>
      </c>
      <c r="BI30" s="1102">
        <f>'Recycling - Case 1'!BV100</f>
        <v>100.89899296551214</v>
      </c>
      <c r="BJ30" s="417">
        <f>'Recycling - Case 1'!BW100</f>
        <v>0.32784550475766222</v>
      </c>
      <c r="BK30" s="1144">
        <f>'Recycling - Case 1'!BX100</f>
        <v>47.586944933914559</v>
      </c>
      <c r="BL30" s="1101">
        <f>'Recycling - Case 1'!BY100</f>
        <v>100.89899296551214</v>
      </c>
      <c r="BM30" s="576">
        <f>'Recycling - Case 1'!BZ100</f>
        <v>0.32784550475766222</v>
      </c>
      <c r="BN30" s="1144">
        <f>'Recycling - Case 1'!CA100</f>
        <v>47.586944933914559</v>
      </c>
      <c r="BO30" s="1102">
        <f>'Recycling - Case 2'!BV100</f>
        <v>101.06344703165011</v>
      </c>
      <c r="BP30" s="417">
        <f>'Recycling - Case 2'!BW100</f>
        <v>0.36215477056092171</v>
      </c>
      <c r="BQ30" s="1144">
        <f>'Recycling - Case 2'!BX100</f>
        <v>47.586944933914559</v>
      </c>
      <c r="BR30" s="1101">
        <f>'Recycling - Case 2'!BY100</f>
        <v>101.06344703165011</v>
      </c>
      <c r="BS30" s="417">
        <f>'Recycling - Case 2'!BZ100</f>
        <v>0.36215477056092171</v>
      </c>
      <c r="BT30" s="1144">
        <f>'Recycling - Case 2'!CA100</f>
        <v>47.586944933914559</v>
      </c>
      <c r="BU30" s="1102">
        <f>'Recycling - Case 3'!BV100</f>
        <v>101.06344703165011</v>
      </c>
      <c r="BV30" s="417">
        <f>'Recycling - Case 3'!BW100</f>
        <v>0.36215477056092171</v>
      </c>
      <c r="BW30" s="1144">
        <f>'Recycling - Case 3'!BX100</f>
        <v>47.586944933914559</v>
      </c>
      <c r="BX30" s="1101">
        <f>'Recycling - Case 3'!BY100</f>
        <v>101.06344703165011</v>
      </c>
      <c r="BY30" s="417">
        <f>'Recycling - Case 3'!BZ100</f>
        <v>0.36215477056092171</v>
      </c>
      <c r="BZ30" s="1144">
        <f>'Recycling - Case 3'!CA100</f>
        <v>47.586944933914559</v>
      </c>
      <c r="CA30" s="596">
        <v>2020</v>
      </c>
      <c r="CB30" s="649">
        <f>'Recycling - Case 1'!CB100</f>
        <v>7.0043634779731967E-2</v>
      </c>
      <c r="CC30" s="417">
        <f>'Recycling - Case 1'!CC100</f>
        <v>6.6628667671368103E-2</v>
      </c>
      <c r="CD30" s="417">
        <f>'Recycling - Case 1'!CD100</f>
        <v>7.0043634779731967E-2</v>
      </c>
      <c r="CE30" s="525">
        <f>'Recycling - Case 1'!CE100</f>
        <v>6.6628667671368103E-2</v>
      </c>
      <c r="CF30" s="649">
        <f>'Recycling - Case 2'!CB100</f>
        <v>6.3100384537620458E-2</v>
      </c>
      <c r="CG30" s="417">
        <f>'Recycling - Case 2'!CC100</f>
        <v>6.6752191460547228E-2</v>
      </c>
      <c r="CH30" s="417">
        <f>'Recycling - Case 2'!CD100</f>
        <v>6.3100384537620458E-2</v>
      </c>
      <c r="CI30" s="525">
        <f>'Recycling - Case 2'!CE100</f>
        <v>6.6752191460547228E-2</v>
      </c>
      <c r="CJ30" s="649">
        <f>'Recycling - Case 3'!CB100</f>
        <v>6.3100384537620458E-2</v>
      </c>
      <c r="CK30" s="417">
        <f>'Recycling - Case 3'!CC100</f>
        <v>6.6752191460547228E-2</v>
      </c>
      <c r="CL30" s="417">
        <f>'Recycling - Case 3'!CD100</f>
        <v>6.3100384537620458E-2</v>
      </c>
      <c r="CM30" s="525">
        <f>'Recycling - Case 3'!CE100</f>
        <v>6.6752191460547228E-2</v>
      </c>
    </row>
    <row r="31" spans="1:91">
      <c r="A31" s="4">
        <f>'Input data'!A120</f>
        <v>2020</v>
      </c>
      <c r="B31" s="4"/>
      <c r="C31" s="769">
        <f>'4A SWD Case 1'!BG90</f>
        <v>781.58324095748401</v>
      </c>
      <c r="D31" s="3">
        <f>'4B Biological treatment '!T84</f>
        <v>0.42229247781244983</v>
      </c>
      <c r="E31" s="1159">
        <f>'4B Biological treatment '!U84</f>
        <v>22.45453865066802</v>
      </c>
      <c r="F31" s="1159">
        <f>'4B Biological treatment '!W84</f>
        <v>1.347272319040081</v>
      </c>
      <c r="G31" s="952">
        <f>'4C2 Open-burning '!R91</f>
        <v>31.199873572885483</v>
      </c>
      <c r="H31" s="952">
        <f>'4C2 Open-burning '!Z91</f>
        <v>10.497802261522001</v>
      </c>
      <c r="I31" s="952">
        <f>'4C2 Open-burning '!AH91</f>
        <v>0.14614712580012698</v>
      </c>
      <c r="J31" s="987">
        <f>'4D Wastewater treatment and dis'!AV128</f>
        <v>142.36205971856938</v>
      </c>
      <c r="K31" s="770">
        <f>'4D Wastewater treatment and dis'!AW128</f>
        <v>2.9904419099300554</v>
      </c>
      <c r="L31" s="771">
        <f t="shared" si="69"/>
        <v>16413.248060107166</v>
      </c>
      <c r="M31" s="772">
        <f t="shared" si="70"/>
        <v>8.8681420340614459</v>
      </c>
      <c r="N31" s="771">
        <f t="shared" si="71"/>
        <v>889.19973056645358</v>
      </c>
      <c r="O31" s="773">
        <f t="shared" si="72"/>
        <v>296.95933006288686</v>
      </c>
      <c r="P31" s="771">
        <f t="shared" si="73"/>
        <v>3916.6402461682742</v>
      </c>
      <c r="Q31" s="519">
        <f t="shared" si="74"/>
        <v>16413.248060107166</v>
      </c>
      <c r="R31" s="521">
        <f t="shared" si="75"/>
        <v>898.06787260051499</v>
      </c>
      <c r="S31" s="518">
        <f t="shared" si="76"/>
        <v>296.95933006288686</v>
      </c>
      <c r="T31" s="519">
        <f t="shared" si="77"/>
        <v>3916.6402461682742</v>
      </c>
      <c r="U31" s="519">
        <f t="shared" si="78"/>
        <v>21524.915508938841</v>
      </c>
      <c r="V31" s="3"/>
      <c r="W31" s="596">
        <f t="shared" si="79"/>
        <v>2021</v>
      </c>
      <c r="X31" s="1101">
        <f t="shared" si="80"/>
        <v>15992.546748442066</v>
      </c>
      <c r="Y31" s="1102">
        <f t="shared" si="81"/>
        <v>952.11755083541823</v>
      </c>
      <c r="Z31" s="1102">
        <f t="shared" si="82"/>
        <v>289.30833435579075</v>
      </c>
      <c r="AA31" s="1102">
        <f t="shared" si="83"/>
        <v>3995.2820715317216</v>
      </c>
      <c r="AB31" s="1144">
        <f t="shared" si="22"/>
        <v>21229.254705164996</v>
      </c>
      <c r="AC31" s="1425" t="str">
        <f>IF(OR('Recycling - Case 1'!AC101="No",'Recycling - Case 1'!T141="No"), "No", "Yes")</f>
        <v>Yes</v>
      </c>
      <c r="AD31" s="1101">
        <f t="shared" si="84"/>
        <v>15992.546748442066</v>
      </c>
      <c r="AE31" s="1102">
        <f t="shared" si="85"/>
        <v>952.11755083541823</v>
      </c>
      <c r="AF31" s="1102">
        <f t="shared" si="86"/>
        <v>289.30833435579075</v>
      </c>
      <c r="AG31" s="1102">
        <f t="shared" si="87"/>
        <v>3995.2820715317216</v>
      </c>
      <c r="AH31" s="1144">
        <f t="shared" si="60"/>
        <v>21229.254705164996</v>
      </c>
      <c r="AI31" s="1425" t="str">
        <f>IF(OR('Recycling - Case 1'!AI12="No",'Recycling - Case 1'!Z141="No"), "No", "Yes")</f>
        <v>Yes</v>
      </c>
      <c r="AJ31" s="1101">
        <f t="shared" si="88"/>
        <v>16003.363880890864</v>
      </c>
      <c r="AK31" s="1102">
        <f t="shared" si="89"/>
        <v>1172.2384604006079</v>
      </c>
      <c r="AL31" s="1102">
        <f t="shared" si="90"/>
        <v>275.36418621646493</v>
      </c>
      <c r="AM31" s="1102">
        <f t="shared" si="91"/>
        <v>4201.6695034402455</v>
      </c>
      <c r="AN31" s="1144">
        <f t="shared" si="92"/>
        <v>21652.636030948182</v>
      </c>
      <c r="AO31" s="1418" t="str">
        <f>IF(OR('Recycling - Case 2'!AC101="No",'Recycling - Case 2'!T141="No"), "No", "Yes")</f>
        <v>Yes</v>
      </c>
      <c r="AP31" s="1101">
        <f t="shared" si="93"/>
        <v>16003.363880890864</v>
      </c>
      <c r="AQ31" s="1102">
        <f t="shared" si="94"/>
        <v>1172.2384604006079</v>
      </c>
      <c r="AR31" s="1102">
        <f t="shared" si="95"/>
        <v>275.36418621646493</v>
      </c>
      <c r="AS31" s="1102">
        <f t="shared" si="96"/>
        <v>4201.6695034402455</v>
      </c>
      <c r="AT31" s="1144">
        <f t="shared" si="37"/>
        <v>21652.636030948182</v>
      </c>
      <c r="AU31" s="1425" t="str">
        <f>IF(OR('Recycling - Case 2'!AC101="No",'Recycling - Case 2'!T181="No"), "No", "Yes")</f>
        <v>Yes</v>
      </c>
      <c r="AV31" s="1101">
        <f t="shared" si="63"/>
        <v>16003.408591483274</v>
      </c>
      <c r="AW31" s="1102">
        <f t="shared" si="64"/>
        <v>806.58161127498897</v>
      </c>
      <c r="AX31" s="1102">
        <f t="shared" si="65"/>
        <v>275.36418621646493</v>
      </c>
      <c r="AY31" s="1102">
        <f t="shared" si="66"/>
        <v>4201.6695034402455</v>
      </c>
      <c r="AZ31" s="1144">
        <f t="shared" si="67"/>
        <v>21287.023892414974</v>
      </c>
      <c r="BA31" s="1425" t="str">
        <f>IF(OR('Recycling - Case 3'!AC101="No",'Recycling - Case 3'!T141="No"), "No", "Yes")</f>
        <v>Yes</v>
      </c>
      <c r="BB31" s="1101">
        <f t="shared" si="97"/>
        <v>16003.408591483274</v>
      </c>
      <c r="BC31" s="1102">
        <f t="shared" si="98"/>
        <v>806.58161127498897</v>
      </c>
      <c r="BD31" s="1102">
        <f t="shared" si="99"/>
        <v>275.36418621646493</v>
      </c>
      <c r="BE31" s="1102">
        <f t="shared" si="100"/>
        <v>4201.6695034402455</v>
      </c>
      <c r="BF31" s="1144">
        <f t="shared" si="47"/>
        <v>21287.023892414974</v>
      </c>
      <c r="BG31" s="1425" t="str">
        <f>IF(OR('Recycling - Case 3'!AC101="No",'Recycling - Case 3'!T181="No"), "No", "Yes")</f>
        <v>Yes</v>
      </c>
      <c r="BH31" s="596">
        <f t="shared" si="48"/>
        <v>2021</v>
      </c>
      <c r="BI31" s="1102">
        <f>'Recycling - Case 1'!BV101</f>
        <v>98.443496097910909</v>
      </c>
      <c r="BJ31" s="417">
        <f>'Recycling - Case 1'!BW101</f>
        <v>0.34685026204632513</v>
      </c>
      <c r="BK31" s="1144">
        <f>'Recycling - Case 1'!BX101</f>
        <v>47.328556831579235</v>
      </c>
      <c r="BL31" s="1101">
        <f>'Recycling - Case 1'!BY101</f>
        <v>98.443496097910909</v>
      </c>
      <c r="BM31" s="576">
        <f>'Recycling - Case 1'!BZ101</f>
        <v>0.34685026204632513</v>
      </c>
      <c r="BN31" s="1144">
        <f>'Recycling - Case 1'!CA101</f>
        <v>47.328556831579235</v>
      </c>
      <c r="BO31" s="1102">
        <f>'Recycling - Case 2'!BV101</f>
        <v>91.347015592912086</v>
      </c>
      <c r="BP31" s="417">
        <f>'Recycling - Case 2'!BW101</f>
        <v>0.43370413130380214</v>
      </c>
      <c r="BQ31" s="1144">
        <f>'Recycling - Case 2'!BX101</f>
        <v>47.328556831579235</v>
      </c>
      <c r="BR31" s="1101">
        <f>'Recycling - Case 2'!BY101</f>
        <v>91.347015592912086</v>
      </c>
      <c r="BS31" s="417">
        <f>'Recycling - Case 2'!BZ101</f>
        <v>0.43370413130380214</v>
      </c>
      <c r="BT31" s="1144">
        <f>'Recycling - Case 2'!CA101</f>
        <v>47.328556831579235</v>
      </c>
      <c r="BU31" s="1102">
        <f>'Recycling - Case 3'!BV101</f>
        <v>91.347015592912086</v>
      </c>
      <c r="BV31" s="417">
        <f>'Recycling - Case 3'!BW101</f>
        <v>0.43370413130380214</v>
      </c>
      <c r="BW31" s="1144">
        <f>'Recycling - Case 3'!BX101</f>
        <v>47.328556831579235</v>
      </c>
      <c r="BX31" s="1101">
        <f>'Recycling - Case 3'!BY101</f>
        <v>91.347015592912086</v>
      </c>
      <c r="BY31" s="417">
        <f>'Recycling - Case 3'!BZ101</f>
        <v>0.43370413130380214</v>
      </c>
      <c r="BZ31" s="1144">
        <f>'Recycling - Case 3'!CA101</f>
        <v>47.328556831579235</v>
      </c>
      <c r="CA31" s="596">
        <v>2021</v>
      </c>
      <c r="CB31" s="649">
        <f>'Recycling - Case 1'!CB101</f>
        <v>8.7689948819799635E-2</v>
      </c>
      <c r="CC31" s="417">
        <f>'Recycling - Case 1'!CC101</f>
        <v>9.9767019466319495E-2</v>
      </c>
      <c r="CD31" s="417">
        <f>'Recycling - Case 1'!CD101</f>
        <v>8.7689948819799635E-2</v>
      </c>
      <c r="CE31" s="525">
        <f>'Recycling - Case 1'!CE101</f>
        <v>9.9767019466319495E-2</v>
      </c>
      <c r="CF31" s="649">
        <f>'Recycling - Case 2'!CB101</f>
        <v>9.7272411607128184E-2</v>
      </c>
      <c r="CG31" s="417">
        <f>'Recycling - Case 2'!CC101</f>
        <v>0.18177545134573359</v>
      </c>
      <c r="CH31" s="417">
        <f>'Recycling - Case 2'!CD101</f>
        <v>9.7272411607128184E-2</v>
      </c>
      <c r="CI31" s="525">
        <f>'Recycling - Case 2'!CE101</f>
        <v>0.18177545134573359</v>
      </c>
      <c r="CJ31" s="649">
        <f>'Recycling - Case 3'!CB101</f>
        <v>9.7272411607128184E-2</v>
      </c>
      <c r="CK31" s="417">
        <f>'Recycling - Case 3'!CC101</f>
        <v>0.18177545134573359</v>
      </c>
      <c r="CL31" s="417">
        <f>'Recycling - Case 3'!CD101</f>
        <v>9.7272411607128184E-2</v>
      </c>
      <c r="CM31" s="525">
        <f>'Recycling - Case 3'!CE101</f>
        <v>0.18177545134573359</v>
      </c>
    </row>
    <row r="32" spans="1:91">
      <c r="A32" s="4">
        <f>'Input data'!A121</f>
        <v>2021</v>
      </c>
      <c r="B32" s="4"/>
      <c r="C32" s="769">
        <f>'4A SWD Case 1'!BG91</f>
        <v>761.54984516390789</v>
      </c>
      <c r="D32" s="3">
        <f>'4B Biological treatment '!T85</f>
        <v>0.48750706482587081</v>
      </c>
      <c r="E32" s="1159">
        <f>'4B Biological treatment '!U85</f>
        <v>23.784846022072603</v>
      </c>
      <c r="F32" s="1159">
        <f>'4B Biological treatment '!W85</f>
        <v>1.427090761324356</v>
      </c>
      <c r="G32" s="952">
        <f>'4C2 Open-burning '!R92</f>
        <v>30.39602579104433</v>
      </c>
      <c r="H32" s="952">
        <f>'4C2 Open-burning '!Z92</f>
        <v>10.227332093031791</v>
      </c>
      <c r="I32" s="952">
        <f>'4C2 Open-burning '!AH92</f>
        <v>0.14238172455186715</v>
      </c>
      <c r="J32" s="987">
        <f>'4D Wastewater treatment and dis'!AV129</f>
        <v>145.59854093589945</v>
      </c>
      <c r="K32" s="770">
        <f>'4D Wastewater treatment and dis'!AW129</f>
        <v>3.024879715734945</v>
      </c>
      <c r="L32" s="771">
        <f t="shared" si="69"/>
        <v>15992.546748442066</v>
      </c>
      <c r="M32" s="772">
        <f t="shared" si="70"/>
        <v>10.237648361343286</v>
      </c>
      <c r="N32" s="771">
        <f t="shared" si="71"/>
        <v>941.87990247407492</v>
      </c>
      <c r="O32" s="773">
        <f t="shared" si="72"/>
        <v>289.30833435579075</v>
      </c>
      <c r="P32" s="771">
        <f t="shared" si="73"/>
        <v>3995.2820715317216</v>
      </c>
      <c r="Q32" s="519">
        <f t="shared" si="74"/>
        <v>15992.546748442066</v>
      </c>
      <c r="R32" s="521">
        <f t="shared" si="75"/>
        <v>952.11755083541823</v>
      </c>
      <c r="S32" s="518">
        <f t="shared" si="76"/>
        <v>289.30833435579075</v>
      </c>
      <c r="T32" s="519">
        <f t="shared" si="77"/>
        <v>3995.2820715317216</v>
      </c>
      <c r="U32" s="519">
        <f t="shared" si="78"/>
        <v>21229.254705164996</v>
      </c>
      <c r="V32" s="3"/>
      <c r="W32" s="596">
        <f t="shared" si="79"/>
        <v>2022</v>
      </c>
      <c r="X32" s="1101">
        <f t="shared" si="80"/>
        <v>15559.423958514177</v>
      </c>
      <c r="Y32" s="1102">
        <f t="shared" si="81"/>
        <v>1005.1013174323582</v>
      </c>
      <c r="Z32" s="1102">
        <f t="shared" si="82"/>
        <v>281.88439794717414</v>
      </c>
      <c r="AA32" s="1102">
        <f t="shared" si="83"/>
        <v>4075.1576379006751</v>
      </c>
      <c r="AB32" s="1144">
        <f t="shared" si="22"/>
        <v>20921.567311794388</v>
      </c>
      <c r="AC32" s="1425" t="str">
        <f>IF(OR('Recycling - Case 1'!AC102="No",'Recycling - Case 1'!T142="No"), "No", "Yes")</f>
        <v>Yes</v>
      </c>
      <c r="AD32" s="1101">
        <f t="shared" si="84"/>
        <v>15559.423958514177</v>
      </c>
      <c r="AE32" s="1102">
        <f t="shared" si="85"/>
        <v>1005.1013174323582</v>
      </c>
      <c r="AF32" s="1102">
        <f t="shared" si="86"/>
        <v>281.88439794717414</v>
      </c>
      <c r="AG32" s="1102">
        <f t="shared" si="87"/>
        <v>4075.1576379006751</v>
      </c>
      <c r="AH32" s="1144">
        <f t="shared" si="60"/>
        <v>20921.567311794388</v>
      </c>
      <c r="AI32" s="1425" t="str">
        <f>IF(OR('Recycling - Case 1'!AI13="No",'Recycling - Case 1'!Z142="No"), "No", "Yes")</f>
        <v>Yes</v>
      </c>
      <c r="AJ32" s="1101">
        <f t="shared" si="88"/>
        <v>15469.033694288073</v>
      </c>
      <c r="AK32" s="1102">
        <f t="shared" si="89"/>
        <v>1278.1047447015701</v>
      </c>
      <c r="AL32" s="1102">
        <f t="shared" si="90"/>
        <v>229.17427654345988</v>
      </c>
      <c r="AM32" s="1102">
        <f t="shared" si="91"/>
        <v>4336.1091427486772</v>
      </c>
      <c r="AN32" s="1144">
        <f t="shared" si="92"/>
        <v>21312.421858281785</v>
      </c>
      <c r="AO32" s="1418" t="str">
        <f>IF(OR('Recycling - Case 2'!AC102="No",'Recycling - Case 2'!T142="No"), "No", "Yes")</f>
        <v>No</v>
      </c>
      <c r="AP32" s="1101">
        <f t="shared" si="93"/>
        <v>15469.033694288073</v>
      </c>
      <c r="AQ32" s="1102">
        <f t="shared" si="94"/>
        <v>1278.1047447015701</v>
      </c>
      <c r="AR32" s="1102">
        <f t="shared" si="95"/>
        <v>229.17427654345988</v>
      </c>
      <c r="AS32" s="1102">
        <f t="shared" si="96"/>
        <v>4336.1091427486772</v>
      </c>
      <c r="AT32" s="1144">
        <f t="shared" si="37"/>
        <v>21312.421858281785</v>
      </c>
      <c r="AU32" s="1425" t="str">
        <f>IF(OR('Recycling - Case 2'!AC102="No",'Recycling - Case 2'!T182="No"), "No", "Yes")</f>
        <v>No</v>
      </c>
      <c r="AV32" s="1101">
        <f t="shared" si="63"/>
        <v>15469.107469086312</v>
      </c>
      <c r="AW32" s="1102">
        <f t="shared" si="64"/>
        <v>776.22001966068729</v>
      </c>
      <c r="AX32" s="1102">
        <f t="shared" si="65"/>
        <v>229.17427654345988</v>
      </c>
      <c r="AY32" s="1102">
        <f t="shared" si="66"/>
        <v>4336.1091427486772</v>
      </c>
      <c r="AZ32" s="1144">
        <f t="shared" si="67"/>
        <v>20810.61090803914</v>
      </c>
      <c r="BA32" s="1425" t="str">
        <f>IF(OR('Recycling - Case 3'!AC102="No",'Recycling - Case 3'!T142="No"), "No", "Yes")</f>
        <v>No</v>
      </c>
      <c r="BB32" s="1101">
        <f t="shared" si="97"/>
        <v>15469.107469086312</v>
      </c>
      <c r="BC32" s="1102">
        <f t="shared" si="98"/>
        <v>776.22001966068729</v>
      </c>
      <c r="BD32" s="1102">
        <f t="shared" si="99"/>
        <v>229.17427654345988</v>
      </c>
      <c r="BE32" s="1102">
        <f t="shared" si="100"/>
        <v>4336.1091427486772</v>
      </c>
      <c r="BF32" s="1144">
        <f t="shared" si="47"/>
        <v>20810.61090803914</v>
      </c>
      <c r="BG32" s="1425" t="str">
        <f>IF(OR('Recycling - Case 3'!AC102="No",'Recycling - Case 3'!T182="No"), "No", "Yes")</f>
        <v>No</v>
      </c>
      <c r="BH32" s="596">
        <f t="shared" si="48"/>
        <v>2022</v>
      </c>
      <c r="BI32" s="1102">
        <f>'Recycling - Case 1'!BV102</f>
        <v>96.077452099642258</v>
      </c>
      <c r="BJ32" s="417">
        <f>'Recycling - Case 1'!BW102</f>
        <v>0.3655138378497616</v>
      </c>
      <c r="BK32" s="1144">
        <f>'Recycling - Case 1'!BX102</f>
        <v>45.903210392984278</v>
      </c>
      <c r="BL32" s="1101">
        <f>'Recycling - Case 1'!BY102</f>
        <v>96.077452099642258</v>
      </c>
      <c r="BM32" s="417">
        <f>'Recycling - Case 1'!BZ102</f>
        <v>0.3655138378497616</v>
      </c>
      <c r="BN32" s="1144">
        <f>'Recycling - Case 1'!CA102</f>
        <v>45.903210392984278</v>
      </c>
      <c r="BO32" s="1102">
        <f>'Recycling - Case 2'!BV102</f>
        <v>84.104979827855686</v>
      </c>
      <c r="BP32" s="417">
        <f>'Recycling - Case 2'!BW102</f>
        <v>0.49260328595635877</v>
      </c>
      <c r="BQ32" s="1144">
        <f>'Recycling - Case 2'!BX102</f>
        <v>45.903210392984278</v>
      </c>
      <c r="BR32" s="1101">
        <f>'Recycling - Case 2'!BY102</f>
        <v>84.104979827855686</v>
      </c>
      <c r="BS32" s="417">
        <f>'Recycling - Case 2'!BZ102</f>
        <v>0.49260328595635877</v>
      </c>
      <c r="BT32" s="1144">
        <f>'Recycling - Case 2'!CA102</f>
        <v>45.903210392984278</v>
      </c>
      <c r="BU32" s="1102">
        <f>'Recycling - Case 3'!BV102</f>
        <v>84.104979827855686</v>
      </c>
      <c r="BV32" s="417">
        <f>'Recycling - Case 3'!BW102</f>
        <v>0.49260328595635877</v>
      </c>
      <c r="BW32" s="1144">
        <f>'Recycling - Case 3'!BX102</f>
        <v>45.903210392984278</v>
      </c>
      <c r="BX32" s="1101">
        <f>'Recycling - Case 3'!BY102</f>
        <v>84.104979827855686</v>
      </c>
      <c r="BY32" s="417">
        <f>'Recycling - Case 3'!BZ102</f>
        <v>0.49260328595635877</v>
      </c>
      <c r="BZ32" s="1144">
        <f>'Recycling - Case 3'!CA102</f>
        <v>45.903210392984278</v>
      </c>
      <c r="CA32" s="596">
        <v>2022</v>
      </c>
      <c r="CB32" s="649">
        <f>'Recycling - Case 1'!CB102</f>
        <v>0.10393620474397769</v>
      </c>
      <c r="CC32" s="417">
        <f>'Recycling - Case 1'!CC102</f>
        <v>0.11920786200253786</v>
      </c>
      <c r="CD32" s="417">
        <f>'Recycling - Case 1'!CD102</f>
        <v>0.10393620474397769</v>
      </c>
      <c r="CE32" s="525">
        <f>'Recycling - Case 1'!CE102</f>
        <v>0.11920786200253786</v>
      </c>
      <c r="CF32" s="649">
        <f>'Recycling - Case 2'!CB102</f>
        <v>0.15763966722713285</v>
      </c>
      <c r="CG32" s="417">
        <f>'Recycling - Case 2'!CC102</f>
        <v>0.24696717837396054</v>
      </c>
      <c r="CH32" s="417">
        <f>'Recycling - Case 2'!CD102</f>
        <v>0.15763966722713285</v>
      </c>
      <c r="CI32" s="525">
        <f>'Recycling - Case 2'!CE102</f>
        <v>0.24696717837396054</v>
      </c>
      <c r="CJ32" s="649">
        <f>'Recycling - Case 3'!CB102</f>
        <v>0.15763966722713285</v>
      </c>
      <c r="CK32" s="417">
        <f>'Recycling - Case 3'!CC102</f>
        <v>0.24696717837396054</v>
      </c>
      <c r="CL32" s="417">
        <f>'Recycling - Case 3'!CD102</f>
        <v>0.15763966722713285</v>
      </c>
      <c r="CM32" s="525">
        <f>'Recycling - Case 3'!CE102</f>
        <v>0.24696717837396054</v>
      </c>
    </row>
    <row r="33" spans="1:91">
      <c r="A33" s="4">
        <f>'Input data'!A122</f>
        <v>2022</v>
      </c>
      <c r="B33" s="4"/>
      <c r="C33" s="769">
        <f>'4A SWD Case 1'!BG92</f>
        <v>740.92495040543702</v>
      </c>
      <c r="D33" s="3">
        <f>'4B Biological treatment '!T86</f>
        <v>0.55746051992920598</v>
      </c>
      <c r="E33" s="1159">
        <f>'4B Biological treatment '!U86</f>
        <v>25.085723396814267</v>
      </c>
      <c r="F33" s="1159">
        <f>'4B Biological treatment '!W86</f>
        <v>1.5051434038088558</v>
      </c>
      <c r="G33" s="952">
        <f>'4C2 Open-burning '!R93</f>
        <v>29.61603387325232</v>
      </c>
      <c r="H33" s="952">
        <f>'4C2 Open-burning '!Z93</f>
        <v>9.9648886924379578</v>
      </c>
      <c r="I33" s="952">
        <f>'4C2 Open-burning '!AH93</f>
        <v>0.13872806946040236</v>
      </c>
      <c r="J33" s="987">
        <f>'4D Wastewater treatment and dis'!AV130</f>
        <v>148.88856151515967</v>
      </c>
      <c r="K33" s="770">
        <f>'4D Wastewater treatment and dis'!AW130</f>
        <v>3.0596704712332969</v>
      </c>
      <c r="L33" s="771">
        <f t="shared" si="69"/>
        <v>15559.423958514177</v>
      </c>
      <c r="M33" s="772">
        <f t="shared" si="70"/>
        <v>11.706670918513325</v>
      </c>
      <c r="N33" s="771">
        <f t="shared" si="71"/>
        <v>993.39464651384492</v>
      </c>
      <c r="O33" s="773">
        <f t="shared" si="72"/>
        <v>281.88439794717414</v>
      </c>
      <c r="P33" s="771">
        <f t="shared" si="73"/>
        <v>4075.1576379006751</v>
      </c>
      <c r="Q33" s="519">
        <f t="shared" si="74"/>
        <v>15559.423958514177</v>
      </c>
      <c r="R33" s="521">
        <f t="shared" si="75"/>
        <v>1005.1013174323582</v>
      </c>
      <c r="S33" s="518">
        <f t="shared" si="76"/>
        <v>281.88439794717414</v>
      </c>
      <c r="T33" s="519">
        <f t="shared" si="77"/>
        <v>4075.1576379006751</v>
      </c>
      <c r="U33" s="519">
        <f t="shared" si="78"/>
        <v>20921.567311794388</v>
      </c>
      <c r="V33" s="3"/>
      <c r="W33" s="596">
        <f t="shared" si="79"/>
        <v>2023</v>
      </c>
      <c r="X33" s="1101">
        <f t="shared" si="80"/>
        <v>15123.130867003267</v>
      </c>
      <c r="Y33" s="1102">
        <f t="shared" si="81"/>
        <v>1064.6697863919624</v>
      </c>
      <c r="Z33" s="1102">
        <f t="shared" si="82"/>
        <v>274.6787686212752</v>
      </c>
      <c r="AA33" s="1102">
        <f t="shared" si="83"/>
        <v>4156.4141151158683</v>
      </c>
      <c r="AB33" s="1144">
        <f t="shared" si="22"/>
        <v>20618.893537132371</v>
      </c>
      <c r="AC33" s="1425" t="str">
        <f>IF(OR('Recycling - Case 1'!AC103="No",'Recycling - Case 1'!T143="No"), "No", "Yes")</f>
        <v>Yes</v>
      </c>
      <c r="AD33" s="1101">
        <f t="shared" si="84"/>
        <v>15123.130867003267</v>
      </c>
      <c r="AE33" s="1102">
        <f t="shared" si="85"/>
        <v>1064.6697863919624</v>
      </c>
      <c r="AF33" s="1102">
        <f t="shared" si="86"/>
        <v>274.6787686212752</v>
      </c>
      <c r="AG33" s="1102">
        <f t="shared" si="87"/>
        <v>4156.4141151158683</v>
      </c>
      <c r="AH33" s="1144">
        <f t="shared" si="60"/>
        <v>20618.893537132371</v>
      </c>
      <c r="AI33" s="1425" t="str">
        <f>IF(OR('Recycling - Case 1'!AI14="No",'Recycling - Case 1'!Z143="No"), "No", "Yes")</f>
        <v>Yes</v>
      </c>
      <c r="AJ33" s="1101">
        <f t="shared" si="88"/>
        <v>14887.921775471967</v>
      </c>
      <c r="AK33" s="1102">
        <f t="shared" si="89"/>
        <v>1283.0725282073315</v>
      </c>
      <c r="AL33" s="1102">
        <f t="shared" si="90"/>
        <v>217.34034483127238</v>
      </c>
      <c r="AM33" s="1102">
        <f t="shared" si="91"/>
        <v>4473.1630222529147</v>
      </c>
      <c r="AN33" s="1144">
        <f t="shared" si="92"/>
        <v>20861.497670763485</v>
      </c>
      <c r="AO33" s="1418" t="str">
        <f>IF(OR('Recycling - Case 2'!AC103="No",'Recycling - Case 2'!T143="No"), "No", "Yes")</f>
        <v>No</v>
      </c>
      <c r="AP33" s="1101">
        <f t="shared" si="93"/>
        <v>14887.921775471967</v>
      </c>
      <c r="AQ33" s="1102">
        <f t="shared" si="94"/>
        <v>1283.0725282073315</v>
      </c>
      <c r="AR33" s="1102">
        <f t="shared" si="95"/>
        <v>217.34034483127238</v>
      </c>
      <c r="AS33" s="1102">
        <f t="shared" si="96"/>
        <v>4473.1630222529147</v>
      </c>
      <c r="AT33" s="1144">
        <f t="shared" si="37"/>
        <v>20861.497670763485</v>
      </c>
      <c r="AU33" s="1425" t="str">
        <f>IF(OR('Recycling - Case 2'!AC103="No",'Recycling - Case 2'!T183="No"), "No", "Yes")</f>
        <v>No</v>
      </c>
      <c r="AV33" s="1101">
        <f t="shared" si="63"/>
        <v>14888.031294182916</v>
      </c>
      <c r="AW33" s="1102">
        <f t="shared" si="64"/>
        <v>779.23705956019307</v>
      </c>
      <c r="AX33" s="1102">
        <f t="shared" si="65"/>
        <v>217.34034483127238</v>
      </c>
      <c r="AY33" s="1102">
        <f t="shared" si="66"/>
        <v>4473.1630222529147</v>
      </c>
      <c r="AZ33" s="1144">
        <f t="shared" si="67"/>
        <v>20357.771720827295</v>
      </c>
      <c r="BA33" s="1425" t="str">
        <f>IF(OR('Recycling - Case 3'!AC103="No",'Recycling - Case 3'!T143="No"), "No", "Yes")</f>
        <v>No</v>
      </c>
      <c r="BB33" s="1101">
        <f t="shared" si="97"/>
        <v>14888.031294182916</v>
      </c>
      <c r="BC33" s="1102">
        <f t="shared" si="98"/>
        <v>779.23705956019307</v>
      </c>
      <c r="BD33" s="1102">
        <f t="shared" si="99"/>
        <v>217.34034483127238</v>
      </c>
      <c r="BE33" s="1102">
        <f t="shared" si="100"/>
        <v>4473.1630222529147</v>
      </c>
      <c r="BF33" s="1144">
        <f t="shared" si="47"/>
        <v>20357.771720827295</v>
      </c>
      <c r="BG33" s="1425" t="str">
        <f>IF(OR('Recycling - Case 3'!AC103="No",'Recycling - Case 3'!T183="No"), "No", "Yes")</f>
        <v>No</v>
      </c>
      <c r="BH33" s="596">
        <f t="shared" si="48"/>
        <v>2023</v>
      </c>
      <c r="BI33" s="1102">
        <f>'Recycling - Case 1'!BV103</f>
        <v>93.930652892571672</v>
      </c>
      <c r="BJ33" s="417">
        <f>'Recycling - Case 1'!BW103</f>
        <v>0.38470960212142652</v>
      </c>
      <c r="BK33" s="1144">
        <f>'Recycling - Case 1'!BX103</f>
        <v>44.745286877069645</v>
      </c>
      <c r="BL33" s="1101">
        <f>'Recycling - Case 1'!BY103</f>
        <v>93.930652892571672</v>
      </c>
      <c r="BM33" s="417">
        <f>'Recycling - Case 1'!BZ103</f>
        <v>0.38470960212142652</v>
      </c>
      <c r="BN33" s="1144">
        <f>'Recycling - Case 1'!CA103</f>
        <v>44.745286877069645</v>
      </c>
      <c r="BO33" s="1102">
        <f>'Recycling - Case 2'!BV103</f>
        <v>83.027594209006878</v>
      </c>
      <c r="BP33" s="417">
        <f>'Recycling - Case 2'!BW103</f>
        <v>0.51534895181328266</v>
      </c>
      <c r="BQ33" s="1144">
        <f>'Recycling - Case 2'!BX103</f>
        <v>44.745286877069645</v>
      </c>
      <c r="BR33" s="1101">
        <f>'Recycling - Case 2'!BY103</f>
        <v>83.027594209006878</v>
      </c>
      <c r="BS33" s="417">
        <f>'Recycling - Case 2'!BZ103</f>
        <v>0.51534895181328266</v>
      </c>
      <c r="BT33" s="1144">
        <f>'Recycling - Case 2'!CA103</f>
        <v>44.745286877069645</v>
      </c>
      <c r="BU33" s="1102">
        <f>'Recycling - Case 3'!BV103</f>
        <v>83.027594209006878</v>
      </c>
      <c r="BV33" s="417">
        <f>'Recycling - Case 3'!BW103</f>
        <v>0.51534895181328266</v>
      </c>
      <c r="BW33" s="1144">
        <f>'Recycling - Case 3'!BX103</f>
        <v>44.745286877069645</v>
      </c>
      <c r="BX33" s="1101">
        <f>'Recycling - Case 3'!BY103</f>
        <v>83.027594209006878</v>
      </c>
      <c r="BY33" s="417">
        <f>'Recycling - Case 3'!BZ103</f>
        <v>0.51534895181328266</v>
      </c>
      <c r="BZ33" s="1144">
        <f>'Recycling - Case 3'!CA103</f>
        <v>44.745286877069645</v>
      </c>
      <c r="CA33" s="596">
        <v>2023</v>
      </c>
      <c r="CB33" s="649">
        <f>'Recycling - Case 1'!CB103</f>
        <v>0.11889793455990316</v>
      </c>
      <c r="CC33" s="417">
        <f>'Recycling - Case 1'!CC103</f>
        <v>0.13950415787463422</v>
      </c>
      <c r="CD33" s="417">
        <f>'Recycling - Case 1'!CD103</f>
        <v>0.11889793455990316</v>
      </c>
      <c r="CE33" s="525">
        <f>'Recycling - Case 1'!CE103</f>
        <v>0.13950415787463422</v>
      </c>
      <c r="CF33" s="649">
        <f>'Recycling - Case 2'!CB103</f>
        <v>0.17661287778653034</v>
      </c>
      <c r="CG33" s="417">
        <f>'Recycling - Case 2'!CC103</f>
        <v>0.25345338612614121</v>
      </c>
      <c r="CH33" s="417">
        <f>'Recycling - Case 2'!CD103</f>
        <v>0.17661287778653034</v>
      </c>
      <c r="CI33" s="525">
        <f>'Recycling - Case 2'!CE103</f>
        <v>0.25345338612614121</v>
      </c>
      <c r="CJ33" s="649">
        <f>'Recycling - Case 3'!CB103</f>
        <v>0.17661287778653034</v>
      </c>
      <c r="CK33" s="417">
        <f>'Recycling - Case 3'!CC103</f>
        <v>0.25345338612614121</v>
      </c>
      <c r="CL33" s="417">
        <f>'Recycling - Case 3'!CD103</f>
        <v>0.17661287778653034</v>
      </c>
      <c r="CM33" s="525">
        <f>'Recycling - Case 3'!CE103</f>
        <v>0.25345338612614121</v>
      </c>
    </row>
    <row r="34" spans="1:91">
      <c r="A34" s="4">
        <f>'Input data'!A123</f>
        <v>2023</v>
      </c>
      <c r="B34" s="4"/>
      <c r="C34" s="769">
        <f>'4A SWD Case 1'!BG93</f>
        <v>720.14908890491745</v>
      </c>
      <c r="D34" s="3">
        <f>'4B Biological treatment '!T87</f>
        <v>0.59049904957956867</v>
      </c>
      <c r="E34" s="1159">
        <f>'4B Biological treatment '!U87</f>
        <v>26.572457231080588</v>
      </c>
      <c r="F34" s="1159">
        <f>'4B Biological treatment '!W87</f>
        <v>1.5943474338648351</v>
      </c>
      <c r="G34" s="952">
        <f>'4C2 Open-burning '!R94</f>
        <v>28.858978272630122</v>
      </c>
      <c r="H34" s="952">
        <f>'4C2 Open-burning '!Z94</f>
        <v>9.7101626603678675</v>
      </c>
      <c r="I34" s="952">
        <f>'4C2 Open-burning '!AH94</f>
        <v>0.1351818531642576</v>
      </c>
      <c r="J34" s="987">
        <f>'4D Wastewater treatment and dis'!AV131</f>
        <v>152.2376409126438</v>
      </c>
      <c r="K34" s="770">
        <f>'4D Wastewater treatment and dis'!AW131</f>
        <v>3.0949150191946715</v>
      </c>
      <c r="L34" s="771">
        <f t="shared" si="69"/>
        <v>15123.130867003267</v>
      </c>
      <c r="M34" s="772">
        <f t="shared" si="70"/>
        <v>12.400480041170942</v>
      </c>
      <c r="N34" s="771">
        <f t="shared" si="71"/>
        <v>1052.2693063507913</v>
      </c>
      <c r="O34" s="773">
        <f t="shared" si="72"/>
        <v>274.6787686212752</v>
      </c>
      <c r="P34" s="771">
        <f t="shared" si="73"/>
        <v>4156.4141151158683</v>
      </c>
      <c r="Q34" s="519">
        <f t="shared" si="74"/>
        <v>15123.130867003267</v>
      </c>
      <c r="R34" s="521">
        <f t="shared" si="75"/>
        <v>1064.6697863919624</v>
      </c>
      <c r="S34" s="518">
        <f t="shared" si="76"/>
        <v>274.6787686212752</v>
      </c>
      <c r="T34" s="519">
        <f t="shared" si="77"/>
        <v>4156.4141151158683</v>
      </c>
      <c r="U34" s="519">
        <f t="shared" si="78"/>
        <v>20618.893537132371</v>
      </c>
      <c r="V34" s="3"/>
      <c r="W34" s="596">
        <f t="shared" si="79"/>
        <v>2024</v>
      </c>
      <c r="X34" s="1101">
        <f t="shared" si="80"/>
        <v>14684.834889876343</v>
      </c>
      <c r="Y34" s="1102">
        <f t="shared" si="81"/>
        <v>1124.0619816898727</v>
      </c>
      <c r="Z34" s="1102">
        <f t="shared" si="82"/>
        <v>267.68476363481818</v>
      </c>
      <c r="AA34" s="1102">
        <f t="shared" si="83"/>
        <v>4238.9983232351897</v>
      </c>
      <c r="AB34" s="1144">
        <f t="shared" si="22"/>
        <v>20315.579958436225</v>
      </c>
      <c r="AC34" s="1425" t="str">
        <f>IF(OR('Recycling - Case 1'!AC104="No",'Recycling - Case 1'!T144="No"), "No", "Yes")</f>
        <v>Yes</v>
      </c>
      <c r="AD34" s="1101">
        <f t="shared" si="84"/>
        <v>14684.834889876343</v>
      </c>
      <c r="AE34" s="1102">
        <f t="shared" si="85"/>
        <v>1124.0619816898727</v>
      </c>
      <c r="AF34" s="1102">
        <f t="shared" si="86"/>
        <v>267.68476363481818</v>
      </c>
      <c r="AG34" s="1102">
        <f t="shared" si="87"/>
        <v>4238.9983232351897</v>
      </c>
      <c r="AH34" s="1144">
        <f t="shared" si="60"/>
        <v>20315.579958436225</v>
      </c>
      <c r="AI34" s="1425" t="str">
        <f>IF(OR('Recycling - Case 1'!AI15="No",'Recycling - Case 1'!Z144="No"), "No", "Yes")</f>
        <v>Yes</v>
      </c>
      <c r="AJ34" s="1101">
        <f t="shared" si="88"/>
        <v>14330.496399341338</v>
      </c>
      <c r="AK34" s="1102">
        <f t="shared" si="89"/>
        <v>1287.8640380514005</v>
      </c>
      <c r="AL34" s="1102">
        <f t="shared" si="90"/>
        <v>205.30382412838176</v>
      </c>
      <c r="AM34" s="1102">
        <f t="shared" si="91"/>
        <v>4612.7951632570066</v>
      </c>
      <c r="AN34" s="1144">
        <f t="shared" si="92"/>
        <v>20436.459424778128</v>
      </c>
      <c r="AO34" s="1418" t="str">
        <f>IF(OR('Recycling - Case 2'!AC104="No",'Recycling - Case 2'!T144="No"), "No", "Yes")</f>
        <v>No</v>
      </c>
      <c r="AP34" s="1101">
        <f t="shared" si="93"/>
        <v>14330.496399341338</v>
      </c>
      <c r="AQ34" s="1102">
        <f t="shared" si="94"/>
        <v>1287.8640380514005</v>
      </c>
      <c r="AR34" s="1102">
        <f t="shared" si="95"/>
        <v>205.30382412838176</v>
      </c>
      <c r="AS34" s="1102">
        <f t="shared" si="96"/>
        <v>4612.7951632570066</v>
      </c>
      <c r="AT34" s="1144">
        <f t="shared" si="37"/>
        <v>20436.459424778128</v>
      </c>
      <c r="AU34" s="1425" t="str">
        <f>IF(OR('Recycling - Case 2'!AC104="No",'Recycling - Case 2'!T184="No"), "No", "Yes")</f>
        <v>No</v>
      </c>
      <c r="AV34" s="1101">
        <f t="shared" si="63"/>
        <v>14330.64814191726</v>
      </c>
      <c r="AW34" s="1102">
        <f t="shared" si="64"/>
        <v>782.1470447400352</v>
      </c>
      <c r="AX34" s="1102">
        <f t="shared" si="65"/>
        <v>205.30382412838176</v>
      </c>
      <c r="AY34" s="1102">
        <f t="shared" si="66"/>
        <v>4612.7951632570066</v>
      </c>
      <c r="AZ34" s="1144">
        <f t="shared" si="67"/>
        <v>19930.894174042682</v>
      </c>
      <c r="BA34" s="1425" t="str">
        <f>IF(OR('Recycling - Case 3'!AC104="No",'Recycling - Case 3'!T144="No"), "No", "Yes")</f>
        <v>No</v>
      </c>
      <c r="BB34" s="1101">
        <f t="shared" si="97"/>
        <v>14330.64814191726</v>
      </c>
      <c r="BC34" s="1102">
        <f t="shared" si="98"/>
        <v>782.1470447400352</v>
      </c>
      <c r="BD34" s="1102">
        <f t="shared" si="99"/>
        <v>205.30382412838176</v>
      </c>
      <c r="BE34" s="1102">
        <f t="shared" si="100"/>
        <v>4612.7951632570066</v>
      </c>
      <c r="BF34" s="1144">
        <f t="shared" si="47"/>
        <v>19930.894174042682</v>
      </c>
      <c r="BG34" s="1425" t="str">
        <f>IF(OR('Recycling - Case 3'!AC104="No",'Recycling - Case 3'!T184="No"), "No", "Yes")</f>
        <v>No</v>
      </c>
      <c r="BH34" s="596">
        <f t="shared" si="48"/>
        <v>2024</v>
      </c>
      <c r="BI34" s="1102">
        <f>'Recycling - Case 1'!BV104</f>
        <v>91.917226855193647</v>
      </c>
      <c r="BJ34" s="417">
        <f>'Recycling - Case 1'!BW104</f>
        <v>0.40387901287645056</v>
      </c>
      <c r="BK34" s="1144">
        <f>'Recycling - Case 1'!BX104</f>
        <v>43.251251992583825</v>
      </c>
      <c r="BL34" s="1101">
        <f>'Recycling - Case 1'!BY104</f>
        <v>91.917226855193647</v>
      </c>
      <c r="BM34" s="417">
        <f>'Recycling - Case 1'!BZ104</f>
        <v>0.40387901287645056</v>
      </c>
      <c r="BN34" s="1144">
        <f>'Recycling - Case 1'!CA104</f>
        <v>43.251251992583825</v>
      </c>
      <c r="BO34" s="1102">
        <f>'Recycling - Case 2'!BV104</f>
        <v>81.604265546673517</v>
      </c>
      <c r="BP34" s="417">
        <f>'Recycling - Case 2'!BW104</f>
        <v>0.5391129041020245</v>
      </c>
      <c r="BQ34" s="1144">
        <f>'Recycling - Case 2'!BX104</f>
        <v>43.251251992583825</v>
      </c>
      <c r="BR34" s="1101">
        <f>'Recycling - Case 2'!BY104</f>
        <v>81.604265546673517</v>
      </c>
      <c r="BS34" s="417">
        <f>'Recycling - Case 2'!BZ104</f>
        <v>0.5391129041020245</v>
      </c>
      <c r="BT34" s="1144">
        <f>'Recycling - Case 2'!CA104</f>
        <v>43.251251992583825</v>
      </c>
      <c r="BU34" s="1102">
        <f>'Recycling - Case 3'!BV104</f>
        <v>81.604265546673517</v>
      </c>
      <c r="BV34" s="417">
        <f>'Recycling - Case 3'!BW104</f>
        <v>0.5391129041020245</v>
      </c>
      <c r="BW34" s="1144">
        <f>'Recycling - Case 3'!BX104</f>
        <v>43.251251992583825</v>
      </c>
      <c r="BX34" s="1101">
        <f>'Recycling - Case 3'!BY104</f>
        <v>81.604265546673517</v>
      </c>
      <c r="BY34" s="417">
        <f>'Recycling - Case 3'!BZ104</f>
        <v>0.5391129041020245</v>
      </c>
      <c r="BZ34" s="1144">
        <f>'Recycling - Case 3'!CA104</f>
        <v>43.251251992583825</v>
      </c>
      <c r="CA34" s="596">
        <v>2024</v>
      </c>
      <c r="CB34" s="649">
        <f>'Recycling - Case 1'!CB104</f>
        <v>0.1326526054958207</v>
      </c>
      <c r="CC34" s="417">
        <f>'Recycling - Case 1'!CC104</f>
        <v>0.15494854161217309</v>
      </c>
      <c r="CD34" s="417">
        <f>'Recycling - Case 1'!CD104</f>
        <v>0.1326526054958207</v>
      </c>
      <c r="CE34" s="525">
        <f>'Recycling - Case 1'!CE104</f>
        <v>0.15494854161217309</v>
      </c>
      <c r="CF34" s="649">
        <f>'Recycling - Case 2'!CB104</f>
        <v>0.19519821477542387</v>
      </c>
      <c r="CG34" s="417">
        <f>'Recycling - Case 2'!CC104</f>
        <v>0.26096749156170729</v>
      </c>
      <c r="CH34" s="417">
        <f>'Recycling - Case 2'!CD104</f>
        <v>0.19519821477542387</v>
      </c>
      <c r="CI34" s="525">
        <f>'Recycling - Case 2'!CE104</f>
        <v>0.26096749156170729</v>
      </c>
      <c r="CJ34" s="649">
        <f>'Recycling - Case 3'!CB104</f>
        <v>0.19519821477542387</v>
      </c>
      <c r="CK34" s="417">
        <f>'Recycling - Case 3'!CC104</f>
        <v>0.26096749156170729</v>
      </c>
      <c r="CL34" s="417">
        <f>'Recycling - Case 3'!CD104</f>
        <v>0.19519821477542387</v>
      </c>
      <c r="CM34" s="525">
        <f>'Recycling - Case 3'!CE104</f>
        <v>0.26096749156170729</v>
      </c>
    </row>
    <row r="35" spans="1:91">
      <c r="A35" s="4">
        <f>'Input data'!A124</f>
        <v>2024</v>
      </c>
      <c r="B35" s="4"/>
      <c r="C35" s="769">
        <f>'4A SWD Case 1'!BG94</f>
        <v>699.27785189887345</v>
      </c>
      <c r="D35" s="3">
        <f>'4B Biological treatment '!T88</f>
        <v>0.62343981236265844</v>
      </c>
      <c r="E35" s="1159">
        <f>'4B Biological treatment '!U88</f>
        <v>28.054791556319621</v>
      </c>
      <c r="F35" s="1159">
        <f>'4B Biological treatment '!W88</f>
        <v>1.6832874933791775</v>
      </c>
      <c r="G35" s="952">
        <f>'4C2 Open-burning '!R95</f>
        <v>28.124156870320991</v>
      </c>
      <c r="H35" s="952">
        <f>'4C2 Open-burning '!Z95</f>
        <v>9.4629177553218575</v>
      </c>
      <c r="I35" s="952">
        <f>'4C2 Open-burning '!AH95</f>
        <v>0.13173978678302622</v>
      </c>
      <c r="J35" s="987">
        <f>'4D Wastewater treatment and dis'!AV132</f>
        <v>155.64399106583625</v>
      </c>
      <c r="K35" s="770">
        <f>'4D Wastewater treatment and dis'!AW132</f>
        <v>3.1305629382342866</v>
      </c>
      <c r="L35" s="771">
        <f t="shared" si="69"/>
        <v>14684.834889876343</v>
      </c>
      <c r="M35" s="772">
        <f t="shared" si="70"/>
        <v>13.092236059615827</v>
      </c>
      <c r="N35" s="771">
        <f t="shared" si="71"/>
        <v>1110.969745630257</v>
      </c>
      <c r="O35" s="773">
        <f t="shared" si="72"/>
        <v>267.68476363481818</v>
      </c>
      <c r="P35" s="771">
        <f t="shared" si="73"/>
        <v>4238.9983232351897</v>
      </c>
      <c r="Q35" s="519">
        <f t="shared" si="74"/>
        <v>14684.834889876343</v>
      </c>
      <c r="R35" s="521">
        <f t="shared" si="75"/>
        <v>1124.0619816898727</v>
      </c>
      <c r="S35" s="518">
        <f t="shared" si="76"/>
        <v>267.68476363481818</v>
      </c>
      <c r="T35" s="519">
        <f t="shared" si="77"/>
        <v>4238.9983232351897</v>
      </c>
      <c r="U35" s="519">
        <f t="shared" si="78"/>
        <v>20315.579958436225</v>
      </c>
      <c r="V35" s="3"/>
      <c r="W35" s="596">
        <f t="shared" si="79"/>
        <v>2025</v>
      </c>
      <c r="X35" s="1101">
        <f t="shared" si="80"/>
        <v>14248.096122932095</v>
      </c>
      <c r="Y35" s="1102">
        <f t="shared" si="81"/>
        <v>1183.6586544353479</v>
      </c>
      <c r="Z35" s="1102">
        <f t="shared" si="82"/>
        <v>260.89542288105361</v>
      </c>
      <c r="AA35" s="1102">
        <f t="shared" si="83"/>
        <v>4322.9236792306456</v>
      </c>
      <c r="AB35" s="1144">
        <f t="shared" si="22"/>
        <v>20015.573879479143</v>
      </c>
      <c r="AC35" s="1425" t="str">
        <f>IF(OR('Recycling - Case 1'!AC105="No",'Recycling - Case 1'!T145="No"), "No", "Yes")</f>
        <v>Yes</v>
      </c>
      <c r="AD35" s="1101">
        <f t="shared" si="84"/>
        <v>14248.096122932095</v>
      </c>
      <c r="AE35" s="1102">
        <f t="shared" si="85"/>
        <v>1183.6586544353479</v>
      </c>
      <c r="AF35" s="1102">
        <f t="shared" si="86"/>
        <v>260.89542288105361</v>
      </c>
      <c r="AG35" s="1102">
        <f t="shared" si="87"/>
        <v>4322.9236792306456</v>
      </c>
      <c r="AH35" s="1144">
        <f t="shared" si="60"/>
        <v>20015.573879479143</v>
      </c>
      <c r="AI35" s="1425" t="str">
        <f>IF(OR('Recycling - Case 1'!AI16="No",'Recycling - Case 1'!Z145="No"), "No", "Yes")</f>
        <v>Yes</v>
      </c>
      <c r="AJ35" s="1101">
        <f t="shared" si="88"/>
        <v>13795.054725625248</v>
      </c>
      <c r="AK35" s="1102">
        <f t="shared" si="89"/>
        <v>1292.8600253430329</v>
      </c>
      <c r="AL35" s="1102">
        <f t="shared" si="90"/>
        <v>193.05742094087532</v>
      </c>
      <c r="AM35" s="1102">
        <f t="shared" si="91"/>
        <v>4755.0396242283468</v>
      </c>
      <c r="AN35" s="1144">
        <f t="shared" si="92"/>
        <v>20036.011796137504</v>
      </c>
      <c r="AO35" s="1418" t="str">
        <f>IF(OR('Recycling - Case 2'!AC105="No",'Recycling - Case 2'!T145="No"), "No", "Yes")</f>
        <v>No</v>
      </c>
      <c r="AP35" s="1101">
        <f t="shared" si="93"/>
        <v>13795.054725625248</v>
      </c>
      <c r="AQ35" s="1102">
        <f t="shared" si="94"/>
        <v>1292.8600253430329</v>
      </c>
      <c r="AR35" s="1102">
        <f t="shared" si="95"/>
        <v>193.05742094087532</v>
      </c>
      <c r="AS35" s="1102">
        <f t="shared" si="96"/>
        <v>4755.0396242283468</v>
      </c>
      <c r="AT35" s="1144">
        <f t="shared" si="37"/>
        <v>20036.011796137504</v>
      </c>
      <c r="AU35" s="1425" t="str">
        <f>IF(OR('Recycling - Case 2'!AC105="No",'Recycling - Case 2'!T185="No"), "No", "Yes")</f>
        <v>No</v>
      </c>
      <c r="AV35" s="1101">
        <f t="shared" si="63"/>
        <v>13795.254986535927</v>
      </c>
      <c r="AW35" s="1102">
        <f t="shared" si="64"/>
        <v>785.18121339468712</v>
      </c>
      <c r="AX35" s="1102">
        <f t="shared" si="65"/>
        <v>193.05742094087532</v>
      </c>
      <c r="AY35" s="1102">
        <f t="shared" si="66"/>
        <v>4755.0396242283468</v>
      </c>
      <c r="AZ35" s="1144">
        <f t="shared" si="67"/>
        <v>19528.533245099836</v>
      </c>
      <c r="BA35" s="1425" t="str">
        <f>IF(OR('Recycling - Case 3'!AC105="No",'Recycling - Case 3'!T145="No"), "No", "Yes")</f>
        <v>No</v>
      </c>
      <c r="BB35" s="1101">
        <f t="shared" si="97"/>
        <v>13795.254986535927</v>
      </c>
      <c r="BC35" s="1102">
        <f t="shared" si="98"/>
        <v>785.18121339468712</v>
      </c>
      <c r="BD35" s="1102">
        <f t="shared" si="99"/>
        <v>193.05742094087532</v>
      </c>
      <c r="BE35" s="1102">
        <f t="shared" si="100"/>
        <v>4755.0396242283468</v>
      </c>
      <c r="BF35" s="1144">
        <f t="shared" si="47"/>
        <v>19528.533245099836</v>
      </c>
      <c r="BG35" s="1425" t="str">
        <f>IF(OR('Recycling - Case 3'!AC105="No",'Recycling - Case 3'!T185="No"), "No", "Yes")</f>
        <v>No</v>
      </c>
      <c r="BH35" s="596">
        <f t="shared" si="48"/>
        <v>2025</v>
      </c>
      <c r="BI35" s="1102">
        <f>'Recycling - Case 1'!BV105</f>
        <v>89.983613959797935</v>
      </c>
      <c r="BJ35" s="417">
        <f>'Recycling - Case 1'!BW105</f>
        <v>0.42268646425211975</v>
      </c>
      <c r="BK35" s="1144">
        <f>'Recycling - Case 1'!BX105</f>
        <v>40.955103194912731</v>
      </c>
      <c r="BL35" s="1101">
        <f>'Recycling - Case 1'!BY105</f>
        <v>89.983613959797935</v>
      </c>
      <c r="BM35" s="417">
        <f>'Recycling - Case 1'!BZ105</f>
        <v>0.42268646425211975</v>
      </c>
      <c r="BN35" s="1144">
        <f>'Recycling - Case 1'!CA105</f>
        <v>40.955103194912731</v>
      </c>
      <c r="BO35" s="1102">
        <f>'Recycling - Case 2'!BV105</f>
        <v>79.393863791539559</v>
      </c>
      <c r="BP35" s="417">
        <f>'Recycling - Case 2'!BW105</f>
        <v>0.56579255878814827</v>
      </c>
      <c r="BQ35" s="1144">
        <f>'Recycling - Case 2'!BX105</f>
        <v>40.955103194912731</v>
      </c>
      <c r="BR35" s="1101">
        <f>'Recycling - Case 2'!BY105</f>
        <v>79.393863791539559</v>
      </c>
      <c r="BS35" s="417">
        <f>'Recycling - Case 2'!BZ105</f>
        <v>0.56579255878814827</v>
      </c>
      <c r="BT35" s="1144">
        <f>'Recycling - Case 2'!CA105</f>
        <v>40.955103194912731</v>
      </c>
      <c r="BU35" s="1102">
        <f>'Recycling - Case 3'!BV105</f>
        <v>79.393863791539559</v>
      </c>
      <c r="BV35" s="417">
        <f>'Recycling - Case 3'!BW105</f>
        <v>0.56579255878814827</v>
      </c>
      <c r="BW35" s="1144">
        <f>'Recycling - Case 3'!BX105</f>
        <v>40.955103194912731</v>
      </c>
      <c r="BX35" s="1101">
        <f>'Recycling - Case 3'!BY105</f>
        <v>79.393863791539559</v>
      </c>
      <c r="BY35" s="417">
        <f>'Recycling - Case 3'!BZ105</f>
        <v>0.56579255878814827</v>
      </c>
      <c r="BZ35" s="1144">
        <f>'Recycling - Case 3'!CA105</f>
        <v>40.955103194912731</v>
      </c>
      <c r="CA35" s="596">
        <v>2025</v>
      </c>
      <c r="CB35" s="649">
        <f>'Recycling - Case 1'!CB105</f>
        <v>0.14528293898096023</v>
      </c>
      <c r="CC35" s="417">
        <f>'Recycling - Case 1'!CC105</f>
        <v>0.16202458633409866</v>
      </c>
      <c r="CD35" s="417">
        <f>'Recycling - Case 1'!CD105</f>
        <v>0.14528293898096023</v>
      </c>
      <c r="CE35" s="525">
        <f>'Recycling - Case 1'!CE105</f>
        <v>0.16202458633409866</v>
      </c>
      <c r="CF35" s="649">
        <f>'Recycling - Case 2'!CB105</f>
        <v>0.21340254569298889</v>
      </c>
      <c r="CG35" s="417">
        <f>'Recycling - Case 2'!CC105</f>
        <v>0.27142825748973287</v>
      </c>
      <c r="CH35" s="417">
        <f>'Recycling - Case 2'!CD105</f>
        <v>0.21340254569298889</v>
      </c>
      <c r="CI35" s="525">
        <f>'Recycling - Case 2'!CE105</f>
        <v>0.27142825748973287</v>
      </c>
      <c r="CJ35" s="649">
        <f>'Recycling - Case 3'!CB105</f>
        <v>0.21340254569298889</v>
      </c>
      <c r="CK35" s="417">
        <f>'Recycling - Case 3'!CC105</f>
        <v>0.27142825748973287</v>
      </c>
      <c r="CL35" s="417">
        <f>'Recycling - Case 3'!CD105</f>
        <v>0.21340254569298889</v>
      </c>
      <c r="CM35" s="525">
        <f>'Recycling - Case 3'!CE105</f>
        <v>0.27142825748973287</v>
      </c>
    </row>
    <row r="36" spans="1:91">
      <c r="A36" s="4">
        <f>'Input data'!A125</f>
        <v>2025</v>
      </c>
      <c r="B36" s="4"/>
      <c r="C36" s="769">
        <f>'4A SWD Case 1'!BG95</f>
        <v>678.48076775867116</v>
      </c>
      <c r="D36" s="3">
        <f>'4B Biological treatment '!T89</f>
        <v>0.65649398471178499</v>
      </c>
      <c r="E36" s="1159">
        <f>'4B Biological treatment '!U89</f>
        <v>29.542229312030315</v>
      </c>
      <c r="F36" s="1159">
        <f>'4B Biological treatment '!W89</f>
        <v>1.7725337587218188</v>
      </c>
      <c r="G36" s="952">
        <f>'4C2 Open-burning '!R96</f>
        <v>27.410838406422805</v>
      </c>
      <c r="H36" s="952">
        <f>'4C2 Open-burning '!Z96</f>
        <v>9.2229079307306598</v>
      </c>
      <c r="I36" s="952">
        <f>'4C2 Open-burning '!AH96</f>
        <v>0.12839844493318359</v>
      </c>
      <c r="J36" s="987">
        <f>'4D Wastewater treatment and dis'!AV133</f>
        <v>159.10825087816576</v>
      </c>
      <c r="K36" s="770">
        <f>'4D Wastewater treatment and dis'!AW133</f>
        <v>3.166614228352143</v>
      </c>
      <c r="L36" s="771">
        <f t="shared" si="69"/>
        <v>14248.096122932095</v>
      </c>
      <c r="M36" s="772">
        <f t="shared" si="70"/>
        <v>13.786373678947484</v>
      </c>
      <c r="N36" s="771">
        <f t="shared" si="71"/>
        <v>1169.8722807564004</v>
      </c>
      <c r="O36" s="773">
        <f t="shared" si="72"/>
        <v>260.89542288105361</v>
      </c>
      <c r="P36" s="771">
        <f t="shared" si="73"/>
        <v>4322.9236792306456</v>
      </c>
      <c r="Q36" s="519">
        <f t="shared" si="74"/>
        <v>14248.096122932095</v>
      </c>
      <c r="R36" s="521">
        <f t="shared" si="75"/>
        <v>1183.6586544353479</v>
      </c>
      <c r="S36" s="518">
        <f t="shared" si="76"/>
        <v>260.89542288105361</v>
      </c>
      <c r="T36" s="519">
        <f t="shared" si="77"/>
        <v>4322.9236792306456</v>
      </c>
      <c r="U36" s="519">
        <f t="shared" si="78"/>
        <v>20015.573879479143</v>
      </c>
      <c r="V36" s="3"/>
      <c r="W36" s="596">
        <f t="shared" si="79"/>
        <v>2026</v>
      </c>
      <c r="X36" s="1101">
        <f t="shared" si="80"/>
        <v>13817.582374803687</v>
      </c>
      <c r="Y36" s="1102">
        <f t="shared" si="81"/>
        <v>1244.1931030610308</v>
      </c>
      <c r="Z36" s="1102">
        <f t="shared" si="82"/>
        <v>254.42145582868937</v>
      </c>
      <c r="AA36" s="1102">
        <f t="shared" si="83"/>
        <v>4400.9174278296796</v>
      </c>
      <c r="AB36" s="1144">
        <f t="shared" si="22"/>
        <v>19717.114361523087</v>
      </c>
      <c r="AC36" s="1425" t="str">
        <f>IF(OR('Recycling - Case 1'!AC106="No",'Recycling - Case 1'!T146="No"), "No", "Yes")</f>
        <v>Yes</v>
      </c>
      <c r="AD36" s="1101">
        <f t="shared" si="84"/>
        <v>13817.582374803687</v>
      </c>
      <c r="AE36" s="1102">
        <f t="shared" si="85"/>
        <v>1244.1931030610308</v>
      </c>
      <c r="AF36" s="1102">
        <f t="shared" si="86"/>
        <v>254.42145582868937</v>
      </c>
      <c r="AG36" s="1102">
        <f t="shared" si="87"/>
        <v>4400.9174278296796</v>
      </c>
      <c r="AH36" s="1144">
        <f t="shared" si="60"/>
        <v>19717.114361523087</v>
      </c>
      <c r="AI36" s="1425" t="str">
        <f>IF(OR('Recycling - Case 1'!AI17="No",'Recycling - Case 1'!Z146="No"), "No", "Yes")</f>
        <v>Yes</v>
      </c>
      <c r="AJ36" s="1101">
        <f t="shared" si="88"/>
        <v>13279.96694030387</v>
      </c>
      <c r="AK36" s="1102">
        <f t="shared" si="89"/>
        <v>1298.7937885148731</v>
      </c>
      <c r="AL36" s="1102">
        <f t="shared" si="90"/>
        <v>180.70066404629662</v>
      </c>
      <c r="AM36" s="1102">
        <f t="shared" si="91"/>
        <v>4891.8315325087806</v>
      </c>
      <c r="AN36" s="1144">
        <f t="shared" si="92"/>
        <v>19651.292925373818</v>
      </c>
      <c r="AO36" s="1418" t="str">
        <f>IF(OR('Recycling - Case 2'!AC106="No",'Recycling - Case 2'!T146="No"), "No", "Yes")</f>
        <v>No</v>
      </c>
      <c r="AP36" s="1101">
        <f t="shared" si="93"/>
        <v>13279.96694030387</v>
      </c>
      <c r="AQ36" s="1102">
        <f t="shared" si="94"/>
        <v>1298.7937885148731</v>
      </c>
      <c r="AR36" s="1102">
        <f t="shared" si="95"/>
        <v>180.70066404629662</v>
      </c>
      <c r="AS36" s="1102">
        <f t="shared" si="96"/>
        <v>4891.8315325087806</v>
      </c>
      <c r="AT36" s="1144">
        <f t="shared" si="37"/>
        <v>19651.292925373818</v>
      </c>
      <c r="AU36" s="1425" t="str">
        <f>IF(OR('Recycling - Case 2'!AC106="No",'Recycling - Case 2'!T186="No"), "No", "Yes")</f>
        <v>No</v>
      </c>
      <c r="AV36" s="1101">
        <f t="shared" si="63"/>
        <v>13280.221842505491</v>
      </c>
      <c r="AW36" s="1102">
        <f t="shared" si="64"/>
        <v>788.78491315795122</v>
      </c>
      <c r="AX36" s="1102">
        <f t="shared" si="65"/>
        <v>180.70066404629659</v>
      </c>
      <c r="AY36" s="1102">
        <f t="shared" si="66"/>
        <v>4891.8315325087806</v>
      </c>
      <c r="AZ36" s="1144">
        <f t="shared" si="67"/>
        <v>19141.538952218521</v>
      </c>
      <c r="BA36" s="1425" t="str">
        <f>IF(OR('Recycling - Case 3'!AC106="No",'Recycling - Case 3'!T146="No"), "No", "Yes")</f>
        <v>No</v>
      </c>
      <c r="BB36" s="1101">
        <f t="shared" si="97"/>
        <v>13280.221842505491</v>
      </c>
      <c r="BC36" s="1102">
        <f t="shared" si="98"/>
        <v>788.78491315795122</v>
      </c>
      <c r="BD36" s="1102">
        <f t="shared" si="99"/>
        <v>180.70066404629659</v>
      </c>
      <c r="BE36" s="1102">
        <f t="shared" si="100"/>
        <v>4891.8315325087806</v>
      </c>
      <c r="BF36" s="1144">
        <f t="shared" si="47"/>
        <v>19141.538952218521</v>
      </c>
      <c r="BG36" s="1425" t="str">
        <f>IF(OR('Recycling - Case 3'!AC106="No",'Recycling - Case 3'!T186="No"), "No", "Yes")</f>
        <v>No</v>
      </c>
      <c r="BH36" s="596">
        <f t="shared" si="48"/>
        <v>2026</v>
      </c>
      <c r="BI36" s="1102">
        <f>'Recycling - Case 1'!BV106</f>
        <v>88.422852576847475</v>
      </c>
      <c r="BJ36" s="417">
        <f>'Recycling - Case 1'!BW106</f>
        <v>0.44300089581504748</v>
      </c>
      <c r="BK36" s="1144">
        <f>'Recycling - Case 1'!BX106</f>
        <v>39.969673998818379</v>
      </c>
      <c r="BL36" s="1101">
        <f>'Recycling - Case 1'!BY106</f>
        <v>88.422852576847475</v>
      </c>
      <c r="BM36" s="417">
        <f>'Recycling - Case 1'!BZ106</f>
        <v>0.44300089581504748</v>
      </c>
      <c r="BN36" s="1144">
        <f>'Recycling - Case 1'!CA106</f>
        <v>39.969673998818379</v>
      </c>
      <c r="BO36" s="1102">
        <f>'Recycling - Case 2'!BV106</f>
        <v>78.544213770689353</v>
      </c>
      <c r="BP36" s="417">
        <f>'Recycling - Case 2'!BW106</f>
        <v>0.58776150564330831</v>
      </c>
      <c r="BQ36" s="1144">
        <f>'Recycling - Case 2'!BX106</f>
        <v>39.969673998818379</v>
      </c>
      <c r="BR36" s="1101">
        <f>'Recycling - Case 2'!BY106</f>
        <v>78.544213770689353</v>
      </c>
      <c r="BS36" s="417">
        <f>'Recycling - Case 2'!BZ106</f>
        <v>0.58776150564330831</v>
      </c>
      <c r="BT36" s="1144">
        <f>'Recycling - Case 2'!CA106</f>
        <v>39.969673998818379</v>
      </c>
      <c r="BU36" s="1102">
        <f>'Recycling - Case 3'!BV106</f>
        <v>78.544213770689353</v>
      </c>
      <c r="BV36" s="417">
        <f>'Recycling - Case 3'!BW106</f>
        <v>0.58776150564330831</v>
      </c>
      <c r="BW36" s="1144">
        <f>'Recycling - Case 3'!BX106</f>
        <v>39.969673998818379</v>
      </c>
      <c r="BX36" s="1101">
        <f>'Recycling - Case 3'!BY106</f>
        <v>78.544213770689353</v>
      </c>
      <c r="BY36" s="417">
        <f>'Recycling - Case 3'!BZ106</f>
        <v>0.58776150564330831</v>
      </c>
      <c r="BZ36" s="1144">
        <f>'Recycling - Case 3'!CA106</f>
        <v>39.969673998818379</v>
      </c>
      <c r="CA36" s="596">
        <v>2026</v>
      </c>
      <c r="CB36" s="649">
        <f>'Recycling - Case 1'!CB106</f>
        <v>0.15588479128872978</v>
      </c>
      <c r="CC36" s="417">
        <f>'Recycling - Case 1'!CC106</f>
        <v>0.17995401291015212</v>
      </c>
      <c r="CD36" s="417">
        <f>'Recycling - Case 1'!CD106</f>
        <v>0.15588479128872978</v>
      </c>
      <c r="CE36" s="525">
        <f>'Recycling - Case 1'!CE106</f>
        <v>0.17995401291015212</v>
      </c>
      <c r="CF36" s="649">
        <f>'Recycling - Case 2'!CB106</f>
        <v>0.23044058777428511</v>
      </c>
      <c r="CG36" s="417">
        <f>'Recycling - Case 2'!CC106</f>
        <v>0.27820155971260785</v>
      </c>
      <c r="CH36" s="417">
        <f>'Recycling - Case 2'!CD106</f>
        <v>0.23044058777428511</v>
      </c>
      <c r="CI36" s="525">
        <f>'Recycling - Case 2'!CE106</f>
        <v>0.27820155971260785</v>
      </c>
      <c r="CJ36" s="649">
        <f>'Recycling - Case 3'!CB106</f>
        <v>0.23044058777428511</v>
      </c>
      <c r="CK36" s="417">
        <f>'Recycling - Case 3'!CC106</f>
        <v>0.27820155971260785</v>
      </c>
      <c r="CL36" s="417">
        <f>'Recycling - Case 3'!CD106</f>
        <v>0.23044058777428511</v>
      </c>
      <c r="CM36" s="525">
        <f>'Recycling - Case 3'!CE106</f>
        <v>0.27820155971260785</v>
      </c>
    </row>
    <row r="37" spans="1:91">
      <c r="A37" s="4">
        <f>'Input data'!A126</f>
        <v>2026</v>
      </c>
      <c r="B37" s="4"/>
      <c r="C37" s="769">
        <f>'4A SWD Case 1'!BG96</f>
        <v>657.98011308588991</v>
      </c>
      <c r="D37" s="3">
        <f>'4B Biological treatment '!T90</f>
        <v>0.69006827679480343</v>
      </c>
      <c r="E37" s="1159">
        <f>'4B Biological treatment '!U90</f>
        <v>31.053072455766156</v>
      </c>
      <c r="F37" s="1159">
        <f>'4B Biological treatment '!W90</f>
        <v>1.863184347345969</v>
      </c>
      <c r="G37" s="952">
        <f>'4C2 Open-burning '!R97</f>
        <v>26.730654512197241</v>
      </c>
      <c r="H37" s="952">
        <f>'4C2 Open-burning '!Z97</f>
        <v>8.994046874407104</v>
      </c>
      <c r="I37" s="952">
        <f>'4C2 Open-burning '!AH97</f>
        <v>0.12521231275465469</v>
      </c>
      <c r="J37" s="987">
        <f>'4D Wastewater treatment and dis'!AV134</f>
        <v>162.3622518163962</v>
      </c>
      <c r="K37" s="770">
        <f>'4D Wastewater treatment and dis'!AW134</f>
        <v>3.1977746441463193</v>
      </c>
      <c r="L37" s="771">
        <f t="shared" si="69"/>
        <v>13817.582374803687</v>
      </c>
      <c r="M37" s="772">
        <f t="shared" si="70"/>
        <v>14.491433812690872</v>
      </c>
      <c r="N37" s="771">
        <f t="shared" si="71"/>
        <v>1229.7016692483398</v>
      </c>
      <c r="O37" s="773">
        <f t="shared" si="72"/>
        <v>254.42145582868937</v>
      </c>
      <c r="P37" s="771">
        <f t="shared" si="73"/>
        <v>4400.9174278296796</v>
      </c>
      <c r="Q37" s="519">
        <f t="shared" si="74"/>
        <v>13817.582374803687</v>
      </c>
      <c r="R37" s="521">
        <f t="shared" si="75"/>
        <v>1244.1931030610308</v>
      </c>
      <c r="S37" s="518">
        <f t="shared" si="76"/>
        <v>254.42145582868937</v>
      </c>
      <c r="T37" s="519">
        <f t="shared" si="77"/>
        <v>4400.9174278296796</v>
      </c>
      <c r="U37" s="519">
        <f t="shared" si="78"/>
        <v>19717.114361523087</v>
      </c>
      <c r="V37" s="3"/>
      <c r="W37" s="596">
        <f t="shared" si="79"/>
        <v>2027</v>
      </c>
      <c r="X37" s="1101">
        <f t="shared" si="80"/>
        <v>13389.456112735425</v>
      </c>
      <c r="Y37" s="1102">
        <f t="shared" si="81"/>
        <v>1304.6695772379787</v>
      </c>
      <c r="Z37" s="1102">
        <f t="shared" si="82"/>
        <v>248.16157753367071</v>
      </c>
      <c r="AA37" s="1102">
        <f t="shared" si="83"/>
        <v>4480.0918085867052</v>
      </c>
      <c r="AB37" s="1144">
        <f t="shared" si="22"/>
        <v>19422.379076093777</v>
      </c>
      <c r="AC37" s="1425" t="str">
        <f>IF(OR('Recycling - Case 1'!AC107="No",'Recycling - Case 1'!T147="No"), "No", "Yes")</f>
        <v>Yes</v>
      </c>
      <c r="AD37" s="1101">
        <f t="shared" si="84"/>
        <v>13389.456112735425</v>
      </c>
      <c r="AE37" s="1102">
        <f t="shared" si="85"/>
        <v>1304.6695772379787</v>
      </c>
      <c r="AF37" s="1102">
        <f t="shared" si="86"/>
        <v>248.16157753367071</v>
      </c>
      <c r="AG37" s="1102">
        <f t="shared" si="87"/>
        <v>4480.0918085867052</v>
      </c>
      <c r="AH37" s="1144">
        <f t="shared" si="60"/>
        <v>19422.379076093777</v>
      </c>
      <c r="AI37" s="1425" t="str">
        <f>IF(OR('Recycling - Case 1'!AI18="No",'Recycling - Case 1'!Z147="No"), "No", "Yes")</f>
        <v>Yes</v>
      </c>
      <c r="AJ37" s="1101">
        <f t="shared" si="88"/>
        <v>12783.59253156854</v>
      </c>
      <c r="AK37" s="1102">
        <f t="shared" si="89"/>
        <v>1304.6695772379787</v>
      </c>
      <c r="AL37" s="1102">
        <f t="shared" si="90"/>
        <v>168.10206065180188</v>
      </c>
      <c r="AM37" s="1102">
        <f t="shared" si="91"/>
        <v>5030.9273143213595</v>
      </c>
      <c r="AN37" s="1144">
        <f t="shared" si="92"/>
        <v>19287.291483779678</v>
      </c>
      <c r="AO37" s="1418" t="str">
        <f>IF(OR('Recycling - Case 2'!AC107="No",'Recycling - Case 2'!T147="No"), "No", "Yes")</f>
        <v>No</v>
      </c>
      <c r="AP37" s="1101">
        <f t="shared" si="93"/>
        <v>12783.59253156854</v>
      </c>
      <c r="AQ37" s="1102">
        <f t="shared" si="94"/>
        <v>1304.6695772379787</v>
      </c>
      <c r="AR37" s="1102">
        <f t="shared" si="95"/>
        <v>168.10206065180188</v>
      </c>
      <c r="AS37" s="1102">
        <f t="shared" si="96"/>
        <v>5030.9273143213595</v>
      </c>
      <c r="AT37" s="1144">
        <f t="shared" si="37"/>
        <v>19287.291483779678</v>
      </c>
      <c r="AU37" s="1425" t="str">
        <f>IF(OR('Recycling - Case 2'!AC107="No",'Recycling - Case 2'!T187="No"), "No", "Yes")</f>
        <v>No</v>
      </c>
      <c r="AV37" s="1101">
        <f t="shared" si="63"/>
        <v>12783.907914949914</v>
      </c>
      <c r="AW37" s="1102">
        <f t="shared" si="64"/>
        <v>792.35340381341462</v>
      </c>
      <c r="AX37" s="1102">
        <f t="shared" si="65"/>
        <v>168.10206065180193</v>
      </c>
      <c r="AY37" s="1102">
        <f t="shared" si="66"/>
        <v>5030.9273143213595</v>
      </c>
      <c r="AZ37" s="1144">
        <f t="shared" si="67"/>
        <v>18775.29069373649</v>
      </c>
      <c r="BA37" s="1425" t="str">
        <f>IF(OR('Recycling - Case 3'!AC107="No",'Recycling - Case 3'!T147="No"), "No", "Yes")</f>
        <v>No</v>
      </c>
      <c r="BB37" s="1101">
        <f t="shared" si="97"/>
        <v>12783.907914949914</v>
      </c>
      <c r="BC37" s="1102">
        <f t="shared" si="98"/>
        <v>792.35340381341462</v>
      </c>
      <c r="BD37" s="1102">
        <f t="shared" si="99"/>
        <v>168.10206065180193</v>
      </c>
      <c r="BE37" s="1102">
        <f t="shared" si="100"/>
        <v>5030.9273143213595</v>
      </c>
      <c r="BF37" s="1144">
        <f t="shared" si="47"/>
        <v>18775.29069373649</v>
      </c>
      <c r="BG37" s="1425" t="str">
        <f>IF(OR('Recycling - Case 3'!AC107="No",'Recycling - Case 3'!T187="No"), "No", "Yes")</f>
        <v>No</v>
      </c>
      <c r="BH37" s="596">
        <f t="shared" si="48"/>
        <v>2027</v>
      </c>
      <c r="BI37" s="1102">
        <f>'Recycling - Case 1'!BV107</f>
        <v>87.021952706024905</v>
      </c>
      <c r="BJ37" s="417">
        <f>'Recycling - Case 1'!BW107</f>
        <v>0.46342054466406563</v>
      </c>
      <c r="BK37" s="1144">
        <f>'Recycling - Case 1'!BX107</f>
        <v>38.984244802724028</v>
      </c>
      <c r="BL37" s="1101">
        <f>'Recycling - Case 1'!BY107</f>
        <v>87.021952706024905</v>
      </c>
      <c r="BM37" s="417">
        <f>'Recycling - Case 1'!BZ107</f>
        <v>0.46342054466406563</v>
      </c>
      <c r="BN37" s="1144">
        <f>'Recycling - Case 1'!CA107</f>
        <v>38.984244802724028</v>
      </c>
      <c r="BO37" s="1102">
        <f>'Recycling - Case 2'!BV107</f>
        <v>77.691730358063538</v>
      </c>
      <c r="BP37" s="417">
        <f>'Recycling - Case 2'!BW107</f>
        <v>0.60953628978376417</v>
      </c>
      <c r="BQ37" s="1144">
        <f>'Recycling - Case 2'!BX107</f>
        <v>38.984244802724028</v>
      </c>
      <c r="BR37" s="1101">
        <f>'Recycling - Case 2'!BY107</f>
        <v>77.691730358063538</v>
      </c>
      <c r="BS37" s="417">
        <f>'Recycling - Case 2'!BZ107</f>
        <v>0.60953628978376417</v>
      </c>
      <c r="BT37" s="1144">
        <f>'Recycling - Case 2'!CA107</f>
        <v>38.984244802724028</v>
      </c>
      <c r="BU37" s="1102">
        <f>'Recycling - Case 3'!BV107</f>
        <v>77.691730358063538</v>
      </c>
      <c r="BV37" s="417">
        <f>'Recycling - Case 3'!BW107</f>
        <v>0.60953628978376417</v>
      </c>
      <c r="BW37" s="1144">
        <f>'Recycling - Case 3'!BX107</f>
        <v>38.984244802724028</v>
      </c>
      <c r="BX37" s="1101">
        <f>'Recycling - Case 3'!BY107</f>
        <v>77.691730358063538</v>
      </c>
      <c r="BY37" s="417">
        <f>'Recycling - Case 3'!BZ107</f>
        <v>0.60953628978376417</v>
      </c>
      <c r="BZ37" s="1144">
        <f>'Recycling - Case 3'!CA107</f>
        <v>38.984244802724028</v>
      </c>
      <c r="CA37" s="596">
        <v>2027</v>
      </c>
      <c r="CB37" s="649">
        <f>'Recycling - Case 1'!CB107</f>
        <v>0.16555003142343172</v>
      </c>
      <c r="CC37" s="417">
        <f>'Recycling - Case 1'!CC107</f>
        <v>0.19611023439077668</v>
      </c>
      <c r="CD37" s="417">
        <f>'Recycling - Case 1'!CD107</f>
        <v>0.16555003142343172</v>
      </c>
      <c r="CE37" s="525">
        <f>'Recycling - Case 1'!CE107</f>
        <v>0.19611023439077668</v>
      </c>
      <c r="CF37" s="649">
        <f>'Recycling - Case 2'!CB107</f>
        <v>0.24719683589081587</v>
      </c>
      <c r="CG37" s="417">
        <f>'Recycling - Case 2'!CC107</f>
        <v>0.28495547475082317</v>
      </c>
      <c r="CH37" s="417">
        <f>'Recycling - Case 2'!CD107</f>
        <v>0.24719683589081587</v>
      </c>
      <c r="CI37" s="525">
        <f>'Recycling - Case 2'!CE107</f>
        <v>0.28495547475082317</v>
      </c>
      <c r="CJ37" s="649">
        <f>'Recycling - Case 3'!CB107</f>
        <v>0.24719683589081587</v>
      </c>
      <c r="CK37" s="417">
        <f>'Recycling - Case 3'!CC107</f>
        <v>0.28495547475082317</v>
      </c>
      <c r="CL37" s="417">
        <f>'Recycling - Case 3'!CD107</f>
        <v>0.24719683589081587</v>
      </c>
      <c r="CM37" s="525">
        <f>'Recycling - Case 3'!CE107</f>
        <v>0.28495547475082317</v>
      </c>
    </row>
    <row r="38" spans="1:91">
      <c r="A38" s="4">
        <f>'Input data'!A127</f>
        <v>2027</v>
      </c>
      <c r="B38" s="4"/>
      <c r="C38" s="769">
        <f>'4A SWD Case 1'!BG97</f>
        <v>637.59314822549641</v>
      </c>
      <c r="D38" s="3">
        <f>'4B Biological treatment '!T91</f>
        <v>0.72361041444147467</v>
      </c>
      <c r="E38" s="1159">
        <f>'4B Biological treatment '!U91</f>
        <v>32.562468649866361</v>
      </c>
      <c r="F38" s="1159">
        <f>'4B Biological treatment '!W91</f>
        <v>1.9537481189919812</v>
      </c>
      <c r="G38" s="952">
        <f>'4C2 Open-burning '!R98</f>
        <v>26.072963739036915</v>
      </c>
      <c r="H38" s="952">
        <f>'4C2 Open-burning '!Z98</f>
        <v>8.772754064686719</v>
      </c>
      <c r="I38" s="952">
        <f>'4C2 Open-burning '!AH98</f>
        <v>0.12213154334262161</v>
      </c>
      <c r="J38" s="987">
        <f>'4D Wastewater treatment and dis'!AV135</f>
        <v>165.66726312381803</v>
      </c>
      <c r="K38" s="770">
        <f>'4D Wastewater treatment and dis'!AW135</f>
        <v>3.2292880096339567</v>
      </c>
      <c r="L38" s="771">
        <f t="shared" si="69"/>
        <v>13389.456112735425</v>
      </c>
      <c r="M38" s="772">
        <f t="shared" si="70"/>
        <v>15.195818703270968</v>
      </c>
      <c r="N38" s="771">
        <f t="shared" si="71"/>
        <v>1289.4737585347077</v>
      </c>
      <c r="O38" s="773">
        <f t="shared" si="72"/>
        <v>248.16157753367071</v>
      </c>
      <c r="P38" s="771">
        <f t="shared" si="73"/>
        <v>4480.0918085867052</v>
      </c>
      <c r="Q38" s="519">
        <f t="shared" si="74"/>
        <v>13389.456112735425</v>
      </c>
      <c r="R38" s="521">
        <f t="shared" si="75"/>
        <v>1304.6695772379787</v>
      </c>
      <c r="S38" s="518">
        <f t="shared" si="76"/>
        <v>248.16157753367071</v>
      </c>
      <c r="T38" s="519">
        <f t="shared" si="77"/>
        <v>4480.0918085867052</v>
      </c>
      <c r="U38" s="519">
        <f t="shared" si="78"/>
        <v>19422.379076093777</v>
      </c>
      <c r="V38" s="3"/>
      <c r="W38" s="596">
        <f t="shared" si="79"/>
        <v>2028</v>
      </c>
      <c r="X38" s="1101">
        <f t="shared" si="80"/>
        <v>12965.196538289181</v>
      </c>
      <c r="Y38" s="1102">
        <f t="shared" si="81"/>
        <v>1310.8274038197931</v>
      </c>
      <c r="Z38" s="1102">
        <f t="shared" si="82"/>
        <v>234.55400361500853</v>
      </c>
      <c r="AA38" s="1102">
        <f t="shared" si="83"/>
        <v>4560.3175409569985</v>
      </c>
      <c r="AB38" s="1144">
        <f t="shared" si="22"/>
        <v>19070.89548668098</v>
      </c>
      <c r="AC38" s="1425" t="str">
        <f>IF(OR('Recycling - Case 1'!AC108="No",'Recycling - Case 1'!T148="No"), "No", "Yes")</f>
        <v>Yes</v>
      </c>
      <c r="AD38" s="1101">
        <f t="shared" si="84"/>
        <v>12965.196538289181</v>
      </c>
      <c r="AE38" s="1102">
        <f t="shared" si="85"/>
        <v>1310.8274038197931</v>
      </c>
      <c r="AF38" s="1102">
        <f t="shared" si="86"/>
        <v>234.55400361500853</v>
      </c>
      <c r="AG38" s="1102">
        <f t="shared" si="87"/>
        <v>4560.3175409569985</v>
      </c>
      <c r="AH38" s="1144">
        <f t="shared" si="60"/>
        <v>19070.89548668098</v>
      </c>
      <c r="AI38" s="1425" t="str">
        <f>IF(OR('Recycling - Case 1'!AI19="No",'Recycling - Case 1'!Z148="No"), "No", "Yes")</f>
        <v>Yes</v>
      </c>
      <c r="AJ38" s="1101">
        <f t="shared" si="88"/>
        <v>12304.4478094694</v>
      </c>
      <c r="AK38" s="1102">
        <f t="shared" si="89"/>
        <v>1310.8274038197931</v>
      </c>
      <c r="AL38" s="1102">
        <f t="shared" si="90"/>
        <v>155.25490802141766</v>
      </c>
      <c r="AM38" s="1102">
        <f t="shared" si="91"/>
        <v>5172.1968290590494</v>
      </c>
      <c r="AN38" s="1144">
        <f t="shared" si="92"/>
        <v>18942.726950369659</v>
      </c>
      <c r="AO38" s="1418" t="str">
        <f>IF(OR('Recycling - Case 2'!AC108="No",'Recycling - Case 2'!T148="No"), "No", "Yes")</f>
        <v>No</v>
      </c>
      <c r="AP38" s="1101">
        <f t="shared" si="93"/>
        <v>12304.4478094694</v>
      </c>
      <c r="AQ38" s="1102">
        <f t="shared" si="94"/>
        <v>1310.8274038197931</v>
      </c>
      <c r="AR38" s="1102">
        <f t="shared" si="95"/>
        <v>155.25490802141766</v>
      </c>
      <c r="AS38" s="1102">
        <f t="shared" si="96"/>
        <v>5172.1968290590494</v>
      </c>
      <c r="AT38" s="1144">
        <f t="shared" si="37"/>
        <v>18942.726950369659</v>
      </c>
      <c r="AU38" s="1425" t="str">
        <f>IF(OR('Recycling - Case 2'!AC108="No",'Recycling - Case 2'!T188="No"), "No", "Yes")</f>
        <v>No</v>
      </c>
      <c r="AV38" s="1101">
        <f t="shared" si="63"/>
        <v>12304.829346180086</v>
      </c>
      <c r="AW38" s="1102">
        <f t="shared" si="64"/>
        <v>796.09318202034046</v>
      </c>
      <c r="AX38" s="1102">
        <f t="shared" si="65"/>
        <v>155.25490802141766</v>
      </c>
      <c r="AY38" s="1102">
        <f t="shared" si="66"/>
        <v>5172.1968290590494</v>
      </c>
      <c r="AZ38" s="1144">
        <f t="shared" si="67"/>
        <v>18428.374265280894</v>
      </c>
      <c r="BA38" s="1425" t="str">
        <f>IF(OR('Recycling - Case 3'!AC108="No",'Recycling - Case 3'!T148="No"), "No", "Yes")</f>
        <v>No</v>
      </c>
      <c r="BB38" s="1101">
        <f t="shared" si="97"/>
        <v>12304.829346180086</v>
      </c>
      <c r="BC38" s="1102">
        <f t="shared" si="98"/>
        <v>796.09318202034046</v>
      </c>
      <c r="BD38" s="1102">
        <f t="shared" si="99"/>
        <v>155.25490802141766</v>
      </c>
      <c r="BE38" s="1102">
        <f t="shared" si="100"/>
        <v>5172.1968290590494</v>
      </c>
      <c r="BF38" s="1144">
        <f t="shared" si="47"/>
        <v>18428.374265280894</v>
      </c>
      <c r="BG38" s="1425" t="str">
        <f>IF(OR('Recycling - Case 3'!AC108="No",'Recycling - Case 3'!T188="No"), "No", "Yes")</f>
        <v>No</v>
      </c>
      <c r="BH38" s="596">
        <f t="shared" si="48"/>
        <v>2028</v>
      </c>
      <c r="BI38" s="1102">
        <f>'Recycling - Case 1'!BV108</f>
        <v>85.349301986156263</v>
      </c>
      <c r="BJ38" s="417">
        <f>'Recycling - Case 1'!BW108</f>
        <v>0.48131135883630555</v>
      </c>
      <c r="BK38" s="1144">
        <f>'Recycling - Case 1'!BX108</f>
        <v>37.99881560662967</v>
      </c>
      <c r="BL38" s="1101">
        <f>'Recycling - Case 1'!BY108</f>
        <v>85.349301986156263</v>
      </c>
      <c r="BM38" s="417">
        <f>'Recycling - Case 1'!BZ108</f>
        <v>0.48131135883630555</v>
      </c>
      <c r="BN38" s="1144">
        <f>'Recycling - Case 1'!CA108</f>
        <v>37.99881560662967</v>
      </c>
      <c r="BO38" s="1102">
        <f>'Recycling - Case 2'!BV108</f>
        <v>76.858350368646072</v>
      </c>
      <c r="BP38" s="417">
        <f>'Recycling - Case 2'!BW108</f>
        <v>0.63121814481697958</v>
      </c>
      <c r="BQ38" s="1144">
        <f>'Recycling - Case 2'!BX108</f>
        <v>37.99881560662967</v>
      </c>
      <c r="BR38" s="1101">
        <f>'Recycling - Case 2'!BY108</f>
        <v>76.858350368646072</v>
      </c>
      <c r="BS38" s="417">
        <f>'Recycling - Case 2'!BZ108</f>
        <v>0.63121814481697958</v>
      </c>
      <c r="BT38" s="1144">
        <f>'Recycling - Case 2'!CA108</f>
        <v>37.99881560662967</v>
      </c>
      <c r="BU38" s="1102">
        <f>'Recycling - Case 3'!BV108</f>
        <v>76.858350368646072</v>
      </c>
      <c r="BV38" s="417">
        <f>'Recycling - Case 3'!BW108</f>
        <v>0.63121814481697958</v>
      </c>
      <c r="BW38" s="1144">
        <f>'Recycling - Case 3'!BX108</f>
        <v>37.99881560662967</v>
      </c>
      <c r="BX38" s="1101">
        <f>'Recycling - Case 3'!BY108</f>
        <v>76.858350368646072</v>
      </c>
      <c r="BY38" s="417">
        <f>'Recycling - Case 3'!BZ108</f>
        <v>0.63121814481697958</v>
      </c>
      <c r="BZ38" s="1144">
        <f>'Recycling - Case 3'!CA108</f>
        <v>37.99881560662967</v>
      </c>
      <c r="CA38" s="596">
        <v>2028</v>
      </c>
      <c r="CB38" s="649">
        <f>'Recycling - Case 1'!CB108</f>
        <v>0.1878757999109899</v>
      </c>
      <c r="CC38" s="417">
        <f>'Recycling - Case 1'!CC108</f>
        <v>0.21173864998899183</v>
      </c>
      <c r="CD38" s="417">
        <f>'Recycling - Case 1'!CD108</f>
        <v>0.1878757999109899</v>
      </c>
      <c r="CE38" s="525">
        <f>'Recycling - Case 1'!CE108</f>
        <v>0.21173864998899183</v>
      </c>
      <c r="CF38" s="649">
        <f>'Recycling - Case 2'!CB108</f>
        <v>0.26366200487589864</v>
      </c>
      <c r="CG38" s="417">
        <f>'Recycling - Case 2'!CC108</f>
        <v>0.29187613713108251</v>
      </c>
      <c r="CH38" s="417">
        <f>'Recycling - Case 2'!CD108</f>
        <v>0.26366200487589864</v>
      </c>
      <c r="CI38" s="525">
        <f>'Recycling - Case 2'!CE108</f>
        <v>0.29187613713108251</v>
      </c>
      <c r="CJ38" s="649">
        <f>'Recycling - Case 3'!CB108</f>
        <v>0.26366200487589864</v>
      </c>
      <c r="CK38" s="417">
        <f>'Recycling - Case 3'!CC108</f>
        <v>0.29187613713108251</v>
      </c>
      <c r="CL38" s="417">
        <f>'Recycling - Case 3'!CD108</f>
        <v>0.26366200487589864</v>
      </c>
      <c r="CM38" s="525">
        <f>'Recycling - Case 3'!CE108</f>
        <v>0.29187613713108251</v>
      </c>
    </row>
    <row r="39" spans="1:91">
      <c r="A39" s="4">
        <f>'Input data'!A128</f>
        <v>2028</v>
      </c>
      <c r="B39" s="4"/>
      <c r="C39" s="769">
        <f>'4A SWD Case 1'!BG98</f>
        <v>617.39031134710388</v>
      </c>
      <c r="D39" s="3">
        <f>'4B Biological treatment '!T92</f>
        <v>0.72702573700487716</v>
      </c>
      <c r="E39" s="1159">
        <f>'4B Biological treatment '!U92</f>
        <v>32.716158165219468</v>
      </c>
      <c r="F39" s="1159">
        <f>'4B Biological treatment '!W92</f>
        <v>1.962969489913168</v>
      </c>
      <c r="G39" s="952">
        <f>'4C2 Open-burning '!R99</f>
        <v>24.64329124548015</v>
      </c>
      <c r="H39" s="952">
        <f>'4C2 Open-burning '!Z99</f>
        <v>8.2917130405609285</v>
      </c>
      <c r="I39" s="952">
        <f>'4C2 Open-burning '!AH99</f>
        <v>0.11543464037983509</v>
      </c>
      <c r="J39" s="987">
        <f>'4D Wastewater treatment and dis'!AV136</f>
        <v>169.01861721537597</v>
      </c>
      <c r="K39" s="770">
        <f>'4D Wastewater treatment and dis'!AW136</f>
        <v>3.2610534820454951</v>
      </c>
      <c r="L39" s="771">
        <f t="shared" si="69"/>
        <v>12965.196538289181</v>
      </c>
      <c r="M39" s="772">
        <f t="shared" si="70"/>
        <v>15.26754047710242</v>
      </c>
      <c r="N39" s="771">
        <f t="shared" si="71"/>
        <v>1295.5598633426907</v>
      </c>
      <c r="O39" s="773">
        <f t="shared" si="72"/>
        <v>234.55400361500853</v>
      </c>
      <c r="P39" s="771">
        <f t="shared" si="73"/>
        <v>4560.3175409569985</v>
      </c>
      <c r="Q39" s="519">
        <f t="shared" si="74"/>
        <v>12965.196538289181</v>
      </c>
      <c r="R39" s="521">
        <f t="shared" si="75"/>
        <v>1310.8274038197931</v>
      </c>
      <c r="S39" s="518">
        <f t="shared" si="76"/>
        <v>234.55400361500853</v>
      </c>
      <c r="T39" s="519">
        <f t="shared" si="77"/>
        <v>4560.3175409569985</v>
      </c>
      <c r="U39" s="519">
        <f t="shared" si="78"/>
        <v>19070.89548668098</v>
      </c>
      <c r="V39" s="3"/>
      <c r="W39" s="596">
        <f t="shared" si="79"/>
        <v>2029</v>
      </c>
      <c r="X39" s="1101">
        <f t="shared" si="80"/>
        <v>12552.350747453745</v>
      </c>
      <c r="Y39" s="1102">
        <f t="shared" si="81"/>
        <v>1317.1889244106758</v>
      </c>
      <c r="Z39" s="1102">
        <f t="shared" si="82"/>
        <v>221.70044171093895</v>
      </c>
      <c r="AA39" s="1102">
        <f t="shared" si="83"/>
        <v>4641.7451490242902</v>
      </c>
      <c r="AB39" s="1144">
        <f t="shared" si="22"/>
        <v>18732.98526259965</v>
      </c>
      <c r="AC39" s="1425" t="str">
        <f>IF(OR('Recycling - Case 1'!AC109="No",'Recycling - Case 1'!T149="No"), "No", "Yes")</f>
        <v>Yes</v>
      </c>
      <c r="AD39" s="1101">
        <f t="shared" si="84"/>
        <v>12552.350747453745</v>
      </c>
      <c r="AE39" s="1102">
        <f t="shared" si="85"/>
        <v>1317.1889244106758</v>
      </c>
      <c r="AF39" s="1102">
        <f t="shared" si="86"/>
        <v>221.70044171093895</v>
      </c>
      <c r="AG39" s="1102">
        <f t="shared" si="87"/>
        <v>4641.7451490242902</v>
      </c>
      <c r="AH39" s="1144">
        <f t="shared" si="60"/>
        <v>18732.98526259965</v>
      </c>
      <c r="AI39" s="1425" t="str">
        <f>IF(OR('Recycling - Case 1'!AI20="No",'Recycling - Case 1'!Z149="No"), "No", "Yes")</f>
        <v>Yes</v>
      </c>
      <c r="AJ39" s="1101">
        <f t="shared" si="88"/>
        <v>11841.109373039406</v>
      </c>
      <c r="AK39" s="1102">
        <f t="shared" si="89"/>
        <v>1317.1889244106758</v>
      </c>
      <c r="AL39" s="1102">
        <f t="shared" si="90"/>
        <v>142.14832378244085</v>
      </c>
      <c r="AM39" s="1102">
        <f t="shared" si="91"/>
        <v>5315.8241432355899</v>
      </c>
      <c r="AN39" s="1144">
        <f t="shared" si="92"/>
        <v>18616.270764468114</v>
      </c>
      <c r="AO39" s="1418" t="str">
        <f>IF(OR('Recycling - Case 2'!AC109="No",'Recycling - Case 2'!T149="No"), "No", "Yes")</f>
        <v>No</v>
      </c>
      <c r="AP39" s="1101">
        <f t="shared" si="93"/>
        <v>11841.109373039406</v>
      </c>
      <c r="AQ39" s="1102">
        <f t="shared" si="94"/>
        <v>1317.1889244106758</v>
      </c>
      <c r="AR39" s="1102">
        <f t="shared" si="95"/>
        <v>142.14832378244085</v>
      </c>
      <c r="AS39" s="1102">
        <f t="shared" si="96"/>
        <v>5315.8241432355899</v>
      </c>
      <c r="AT39" s="1144">
        <f t="shared" si="37"/>
        <v>18616.270764468114</v>
      </c>
      <c r="AU39" s="1425" t="str">
        <f>IF(OR('Recycling - Case 2'!AC109="No",'Recycling - Case 2'!T189="No"), "No", "Yes")</f>
        <v>No</v>
      </c>
      <c r="AV39" s="1101">
        <f t="shared" si="63"/>
        <v>11841.562577126118</v>
      </c>
      <c r="AW39" s="1102">
        <f t="shared" si="64"/>
        <v>799.95666790332211</v>
      </c>
      <c r="AX39" s="1102">
        <f t="shared" si="65"/>
        <v>142.14832378244085</v>
      </c>
      <c r="AY39" s="1102">
        <f t="shared" si="66"/>
        <v>5315.8241432355899</v>
      </c>
      <c r="AZ39" s="1144">
        <f t="shared" si="67"/>
        <v>18099.491712047471</v>
      </c>
      <c r="BA39" s="1425" t="str">
        <f>IF(OR('Recycling - Case 3'!AC109="No",'Recycling - Case 3'!T149="No"), "No", "Yes")</f>
        <v>No</v>
      </c>
      <c r="BB39" s="1101">
        <f t="shared" si="97"/>
        <v>11841.562577126118</v>
      </c>
      <c r="BC39" s="1102">
        <f t="shared" si="98"/>
        <v>799.95666790332211</v>
      </c>
      <c r="BD39" s="1102">
        <f t="shared" si="99"/>
        <v>142.14832378244085</v>
      </c>
      <c r="BE39" s="1102">
        <f t="shared" si="100"/>
        <v>5315.8241432355899</v>
      </c>
      <c r="BF39" s="1144">
        <f t="shared" si="47"/>
        <v>18099.491712047471</v>
      </c>
      <c r="BG39" s="1425" t="str">
        <f>IF(OR('Recycling - Case 3'!AC109="No",'Recycling - Case 3'!T189="No"), "No", "Yes")</f>
        <v>No</v>
      </c>
      <c r="BH39" s="596">
        <f t="shared" si="48"/>
        <v>2029</v>
      </c>
      <c r="BI39" s="1102">
        <f>'Recycling - Case 1'!BV109</f>
        <v>83.845790115928594</v>
      </c>
      <c r="BJ39" s="417">
        <f>'Recycling - Case 1'!BW109</f>
        <v>0.49942483873660343</v>
      </c>
      <c r="BK39" s="1144">
        <f>'Recycling - Case 1'!BX109</f>
        <v>37.013386410535311</v>
      </c>
      <c r="BL39" s="1101">
        <f>'Recycling - Case 1'!BY109</f>
        <v>83.845790115928594</v>
      </c>
      <c r="BM39" s="417">
        <f>'Recycling - Case 1'!BZ109</f>
        <v>0.49942483873660343</v>
      </c>
      <c r="BN39" s="1144">
        <f>'Recycling - Case 1'!CA109</f>
        <v>37.013386410535311</v>
      </c>
      <c r="BO39" s="1102">
        <f>'Recycling - Case 2'!BV109</f>
        <v>76.039154925027447</v>
      </c>
      <c r="BP39" s="417">
        <f>'Recycling - Case 2'!BW109</f>
        <v>0.65276521430474455</v>
      </c>
      <c r="BQ39" s="1144">
        <f>'Recycling - Case 2'!BX109</f>
        <v>37.013386410535311</v>
      </c>
      <c r="BR39" s="1101">
        <f>'Recycling - Case 2'!BY109</f>
        <v>76.039154925027447</v>
      </c>
      <c r="BS39" s="417">
        <f>'Recycling - Case 2'!BZ109</f>
        <v>0.65276521430474455</v>
      </c>
      <c r="BT39" s="1144">
        <f>'Recycling - Case 2'!CA109</f>
        <v>37.013386410535311</v>
      </c>
      <c r="BU39" s="1102">
        <f>'Recycling - Case 3'!BV109</f>
        <v>76.039154925027447</v>
      </c>
      <c r="BV39" s="417">
        <f>'Recycling - Case 3'!BW109</f>
        <v>0.65276521430474455</v>
      </c>
      <c r="BW39" s="1144">
        <f>'Recycling - Case 3'!BX109</f>
        <v>37.013386410535311</v>
      </c>
      <c r="BX39" s="1101">
        <f>'Recycling - Case 3'!BY109</f>
        <v>76.039154925027447</v>
      </c>
      <c r="BY39" s="417">
        <f>'Recycling - Case 3'!BZ109</f>
        <v>0.65276521430474455</v>
      </c>
      <c r="BZ39" s="1144">
        <f>'Recycling - Case 3'!CA109</f>
        <v>37.013386410535311</v>
      </c>
      <c r="CA39" s="596">
        <v>2029</v>
      </c>
      <c r="CB39" s="649">
        <f>'Recycling - Case 1'!CB109</f>
        <v>0.20894333895056283</v>
      </c>
      <c r="CC39" s="417">
        <f>'Recycling - Case 1'!CC109</f>
        <v>0.22588641987410629</v>
      </c>
      <c r="CD39" s="417">
        <f>'Recycling - Case 1'!CD109</f>
        <v>0.20894333895056283</v>
      </c>
      <c r="CE39" s="525">
        <f>'Recycling - Case 1'!CE109</f>
        <v>0.22588641987410629</v>
      </c>
      <c r="CF39" s="649">
        <f>'Recycling - Case 2'!CB109</f>
        <v>0.27985543822013526</v>
      </c>
      <c r="CG39" s="417">
        <f>'Recycling - Case 2'!CC109</f>
        <v>0.29891127587696775</v>
      </c>
      <c r="CH39" s="417">
        <f>'Recycling - Case 2'!CD109</f>
        <v>0.27985543822013526</v>
      </c>
      <c r="CI39" s="525">
        <f>'Recycling - Case 2'!CE109</f>
        <v>0.29891127587696775</v>
      </c>
      <c r="CJ39" s="649">
        <f>'Recycling - Case 3'!CB109</f>
        <v>0.27985543822013526</v>
      </c>
      <c r="CK39" s="417">
        <f>'Recycling - Case 3'!CC109</f>
        <v>0.29891127587696775</v>
      </c>
      <c r="CL39" s="417">
        <f>'Recycling - Case 3'!CD109</f>
        <v>0.27985543822013526</v>
      </c>
      <c r="CM39" s="525">
        <f>'Recycling - Case 3'!CE109</f>
        <v>0.29891127587696775</v>
      </c>
    </row>
    <row r="40" spans="1:91">
      <c r="A40" s="4">
        <f>'Input data'!A129</f>
        <v>2029</v>
      </c>
      <c r="B40" s="4"/>
      <c r="C40" s="769">
        <f>'4A SWD Case 1'!BG99</f>
        <v>597.73098797398791</v>
      </c>
      <c r="D40" s="3">
        <f>'4B Biological treatment '!T93</f>
        <v>0.7305540346149062</v>
      </c>
      <c r="E40" s="1159">
        <f>'4B Biological treatment '!U93</f>
        <v>32.874931557670777</v>
      </c>
      <c r="F40" s="1159">
        <f>'4B Biological treatment '!W93</f>
        <v>1.9724958934602463</v>
      </c>
      <c r="G40" s="952">
        <f>'4C2 Open-burning '!R100</f>
        <v>23.292838621939737</v>
      </c>
      <c r="H40" s="952">
        <f>'4C2 Open-burning '!Z100</f>
        <v>7.8373270773498049</v>
      </c>
      <c r="I40" s="952">
        <f>'4C2 Open-burning '!AH100</f>
        <v>0.10910882085372027</v>
      </c>
      <c r="J40" s="987">
        <f>'4D Wastewater treatment and dis'!AV137</f>
        <v>172.42199327322078</v>
      </c>
      <c r="K40" s="770">
        <f>'4D Wastewater treatment and dis'!AW137</f>
        <v>3.2931719041504954</v>
      </c>
      <c r="L40" s="771">
        <f t="shared" si="69"/>
        <v>12552.350747453745</v>
      </c>
      <c r="M40" s="772">
        <f t="shared" si="70"/>
        <v>15.34163472691303</v>
      </c>
      <c r="N40" s="771">
        <f t="shared" si="71"/>
        <v>1301.8472896837627</v>
      </c>
      <c r="O40" s="773">
        <f t="shared" si="72"/>
        <v>221.70044171093895</v>
      </c>
      <c r="P40" s="771">
        <f t="shared" si="73"/>
        <v>4641.7451490242902</v>
      </c>
      <c r="Q40" s="519">
        <f t="shared" si="74"/>
        <v>12552.350747453745</v>
      </c>
      <c r="R40" s="521">
        <f t="shared" si="75"/>
        <v>1317.1889244106758</v>
      </c>
      <c r="S40" s="518">
        <f t="shared" si="76"/>
        <v>221.70044171093895</v>
      </c>
      <c r="T40" s="519">
        <f t="shared" si="77"/>
        <v>4641.7451490242902</v>
      </c>
      <c r="U40" s="519">
        <f t="shared" si="78"/>
        <v>18732.98526259965</v>
      </c>
      <c r="V40" s="3"/>
      <c r="W40" s="596">
        <f t="shared" si="79"/>
        <v>2030</v>
      </c>
      <c r="X40" s="1101">
        <f t="shared" si="80"/>
        <v>12151.020759738083</v>
      </c>
      <c r="Y40" s="1102">
        <f t="shared" si="81"/>
        <v>1323.7729415345395</v>
      </c>
      <c r="Z40" s="1102">
        <f t="shared" si="82"/>
        <v>209.55963478666706</v>
      </c>
      <c r="AA40" s="1102">
        <f t="shared" si="83"/>
        <v>4724.3147443604685</v>
      </c>
      <c r="AB40" s="1144">
        <f t="shared" si="22"/>
        <v>18408.66808041976</v>
      </c>
      <c r="AC40" s="1425" t="str">
        <f>IF(OR('Recycling - Case 1'!AC110="No",'Recycling - Case 1'!T150="No"), "No", "Yes")</f>
        <v>Yes</v>
      </c>
      <c r="AD40" s="1101">
        <f t="shared" si="84"/>
        <v>12151.020759738083</v>
      </c>
      <c r="AE40" s="1102">
        <f t="shared" si="85"/>
        <v>1323.7729415345395</v>
      </c>
      <c r="AF40" s="1102">
        <f t="shared" si="86"/>
        <v>209.55963478666706</v>
      </c>
      <c r="AG40" s="1102">
        <f t="shared" si="87"/>
        <v>4724.3147443604685</v>
      </c>
      <c r="AH40" s="1144">
        <f t="shared" si="60"/>
        <v>18408.66808041976</v>
      </c>
      <c r="AI40" s="1425" t="str">
        <f>IF(OR('Recycling - Case 1'!AI21="No",'Recycling - Case 1'!Z150="No"), "No", "Yes")</f>
        <v>Yes</v>
      </c>
      <c r="AJ40" s="1101">
        <f t="shared" si="88"/>
        <v>11392.213690395743</v>
      </c>
      <c r="AK40" s="1102">
        <f t="shared" si="89"/>
        <v>1323.7729415345395</v>
      </c>
      <c r="AL40" s="1102">
        <f t="shared" si="90"/>
        <v>128.77373973832519</v>
      </c>
      <c r="AM40" s="1102">
        <f t="shared" si="91"/>
        <v>5461.7562489213324</v>
      </c>
      <c r="AN40" s="1144">
        <f t="shared" si="92"/>
        <v>18306.51662058994</v>
      </c>
      <c r="AO40" s="1418" t="str">
        <f>IF(OR('Recycling - Case 2'!AC110="No",'Recycling - Case 2'!T150="No"), "No", "Yes")</f>
        <v>No</v>
      </c>
      <c r="AP40" s="1101">
        <f t="shared" si="93"/>
        <v>11392.213690395743</v>
      </c>
      <c r="AQ40" s="1102">
        <f t="shared" si="94"/>
        <v>1323.7729415345395</v>
      </c>
      <c r="AR40" s="1102">
        <f t="shared" si="95"/>
        <v>128.77373973832519</v>
      </c>
      <c r="AS40" s="1102">
        <f t="shared" si="96"/>
        <v>5461.7562489213324</v>
      </c>
      <c r="AT40" s="1144">
        <f t="shared" si="37"/>
        <v>18306.51662058994</v>
      </c>
      <c r="AU40" s="1425" t="str">
        <f>IF(OR('Recycling - Case 2'!AC110="No",'Recycling - Case 2'!T190="No"), "No", "Yes")</f>
        <v>No</v>
      </c>
      <c r="AV40" s="1101">
        <f t="shared" si="63"/>
        <v>11392.743932156265</v>
      </c>
      <c r="AW40" s="1102">
        <f t="shared" si="64"/>
        <v>803.95528063245752</v>
      </c>
      <c r="AX40" s="1102">
        <f t="shared" si="65"/>
        <v>128.77373973832522</v>
      </c>
      <c r="AY40" s="1102">
        <f t="shared" si="66"/>
        <v>5461.7562489213324</v>
      </c>
      <c r="AZ40" s="1144">
        <f t="shared" si="67"/>
        <v>17787.229201448379</v>
      </c>
      <c r="BA40" s="1425" t="str">
        <f>IF(OR('Recycling - Case 3'!AC110="No",'Recycling - Case 3'!T150="No"), "No", "Yes")</f>
        <v>No</v>
      </c>
      <c r="BB40" s="1101">
        <f t="shared" si="97"/>
        <v>11392.743932156265</v>
      </c>
      <c r="BC40" s="1102">
        <f t="shared" si="98"/>
        <v>803.95528063245752</v>
      </c>
      <c r="BD40" s="1102">
        <f t="shared" si="99"/>
        <v>128.77373973832522</v>
      </c>
      <c r="BE40" s="1102">
        <f t="shared" si="100"/>
        <v>5461.7562489213324</v>
      </c>
      <c r="BF40" s="1144">
        <f t="shared" si="47"/>
        <v>17787.229201448379</v>
      </c>
      <c r="BG40" s="1425" t="str">
        <f>IF(OR('Recycling - Case 3'!AC110="No",'Recycling - Case 3'!T190="No"), "No", "Yes")</f>
        <v>No</v>
      </c>
      <c r="BH40" s="596">
        <f t="shared" si="48"/>
        <v>2030</v>
      </c>
      <c r="BI40" s="1102">
        <f>'Recycling - Case 1'!BV110</f>
        <v>82.506254433459432</v>
      </c>
      <c r="BJ40" s="417">
        <f>'Recycling - Case 1'!BW110</f>
        <v>0.51771080495467514</v>
      </c>
      <c r="BK40" s="1144">
        <f>'Recycling - Case 1'!BX110</f>
        <v>36.027957214440953</v>
      </c>
      <c r="BL40" s="1101">
        <f>'Recycling - Case 1'!BY110</f>
        <v>82.506254433459432</v>
      </c>
      <c r="BM40" s="417">
        <f>'Recycling - Case 1'!BZ110</f>
        <v>0.51771080495467514</v>
      </c>
      <c r="BN40" s="1144">
        <f>'Recycling - Case 1'!CA110</f>
        <v>36.027957214440953</v>
      </c>
      <c r="BO40" s="1102">
        <f>'Recycling - Case 2'!BV110</f>
        <v>75.235193787836593</v>
      </c>
      <c r="BP40" s="417">
        <f>'Recycling - Case 2'!BW110</f>
        <v>0.67416545444659792</v>
      </c>
      <c r="BQ40" s="1144">
        <f>'Recycling - Case 2'!BX110</f>
        <v>36.027957214440953</v>
      </c>
      <c r="BR40" s="1101">
        <f>'Recycling - Case 2'!BY110</f>
        <v>75.235193787836593</v>
      </c>
      <c r="BS40" s="417">
        <f>'Recycling - Case 2'!BZ110</f>
        <v>0.67416545444659792</v>
      </c>
      <c r="BT40" s="1144">
        <f>'Recycling - Case 2'!CA110</f>
        <v>36.027957214440953</v>
      </c>
      <c r="BU40" s="1102">
        <f>'Recycling - Case 3'!BV110</f>
        <v>75.235193787836593</v>
      </c>
      <c r="BV40" s="417">
        <f>'Recycling - Case 3'!BW110</f>
        <v>0.67416545444659792</v>
      </c>
      <c r="BW40" s="1144">
        <f>'Recycling - Case 3'!BX110</f>
        <v>36.027957214440953</v>
      </c>
      <c r="BX40" s="1101">
        <f>'Recycling - Case 3'!BY110</f>
        <v>75.235193787836593</v>
      </c>
      <c r="BY40" s="417">
        <f>'Recycling - Case 3'!BZ110</f>
        <v>0.67416545444659792</v>
      </c>
      <c r="BZ40" s="1144">
        <f>'Recycling - Case 3'!CA110</f>
        <v>36.027957214440953</v>
      </c>
      <c r="CA40" s="596">
        <v>2030</v>
      </c>
      <c r="CB40" s="649">
        <f>'Recycling - Case 1'!CB110</f>
        <v>0.22882093176043683</v>
      </c>
      <c r="CC40" s="417">
        <f>'Recycling - Case 1'!CC110</f>
        <v>0.2386108452908049</v>
      </c>
      <c r="CD40" s="417">
        <f>'Recycling - Case 1'!CD110</f>
        <v>0.22882093176043683</v>
      </c>
      <c r="CE40" s="525">
        <f>'Recycling - Case 1'!CE110</f>
        <v>0.2386108452908049</v>
      </c>
      <c r="CF40" s="649">
        <f>'Recycling - Case 2'!CB110</f>
        <v>0.29577559635585604</v>
      </c>
      <c r="CG40" s="417">
        <f>'Recycling - Case 2'!CC110</f>
        <v>0.30606234123981113</v>
      </c>
      <c r="CH40" s="417">
        <f>'Recycling - Case 2'!CD110</f>
        <v>0.29577559635585604</v>
      </c>
      <c r="CI40" s="525">
        <f>'Recycling - Case 2'!CE110</f>
        <v>0.30606234123981113</v>
      </c>
      <c r="CJ40" s="649">
        <f>'Recycling - Case 3'!CB110</f>
        <v>0.29577559635585604</v>
      </c>
      <c r="CK40" s="417">
        <f>'Recycling - Case 3'!CC110</f>
        <v>0.30606234123981113</v>
      </c>
      <c r="CL40" s="417">
        <f>'Recycling - Case 3'!CD110</f>
        <v>0.29577559635585604</v>
      </c>
      <c r="CM40" s="525">
        <f>'Recycling - Case 3'!CE110</f>
        <v>0.30606234123981113</v>
      </c>
    </row>
    <row r="41" spans="1:91">
      <c r="A41" s="4">
        <f>'Input data'!A130</f>
        <v>2030</v>
      </c>
      <c r="B41" s="4"/>
      <c r="C41" s="769">
        <f>'4A SWD Case 1'!BG100</f>
        <v>578.62003617800394</v>
      </c>
      <c r="D41" s="3">
        <f>'4B Biological treatment '!T94</f>
        <v>0.73420573573740433</v>
      </c>
      <c r="E41" s="1159">
        <f>'4B Biological treatment '!U94</f>
        <v>33.039258108183191</v>
      </c>
      <c r="F41" s="1159">
        <f>'4B Biological treatment '!W94</f>
        <v>1.9823554864909911</v>
      </c>
      <c r="G41" s="952">
        <f>'4C2 Open-burning '!R101</f>
        <v>22.017271220067308</v>
      </c>
      <c r="H41" s="952">
        <f>'4C2 Open-burning '!Z101</f>
        <v>7.4081376985909939</v>
      </c>
      <c r="I41" s="952">
        <f>'4C2 Open-burning '!AH101</f>
        <v>0.10313378031028674</v>
      </c>
      <c r="J41" s="987">
        <f>'4D Wastewater treatment and dis'!AV138</f>
        <v>175.87528378312254</v>
      </c>
      <c r="K41" s="770">
        <f>'4D Wastewater treatment and dis'!AW138</f>
        <v>3.3255928545641762</v>
      </c>
      <c r="L41" s="771">
        <f t="shared" si="69"/>
        <v>12151.020759738083</v>
      </c>
      <c r="M41" s="772">
        <f t="shared" si="70"/>
        <v>15.41832045048549</v>
      </c>
      <c r="N41" s="771">
        <f t="shared" si="71"/>
        <v>1308.3546210840541</v>
      </c>
      <c r="O41" s="773">
        <f t="shared" si="72"/>
        <v>209.55963478666706</v>
      </c>
      <c r="P41" s="771">
        <f t="shared" si="73"/>
        <v>4724.3147443604685</v>
      </c>
      <c r="Q41" s="519">
        <f t="shared" si="74"/>
        <v>12151.020759738083</v>
      </c>
      <c r="R41" s="521">
        <f t="shared" si="75"/>
        <v>1323.7729415345395</v>
      </c>
      <c r="S41" s="518">
        <f t="shared" si="76"/>
        <v>209.55963478666706</v>
      </c>
      <c r="T41" s="519">
        <f t="shared" si="77"/>
        <v>4724.3147443604685</v>
      </c>
      <c r="U41" s="519">
        <f t="shared" si="78"/>
        <v>18408.66808041976</v>
      </c>
      <c r="V41" s="3"/>
      <c r="W41" s="596">
        <f t="shared" si="79"/>
        <v>2031</v>
      </c>
      <c r="X41" s="1101">
        <f t="shared" si="80"/>
        <v>11761.305993742231</v>
      </c>
      <c r="Y41" s="1102">
        <f t="shared" si="81"/>
        <v>1331.6786194018543</v>
      </c>
      <c r="Z41" s="1102">
        <f t="shared" si="82"/>
        <v>199.12505940518434</v>
      </c>
      <c r="AA41" s="1102">
        <f t="shared" si="83"/>
        <v>4801.8282802505955</v>
      </c>
      <c r="AB41" s="1144">
        <f t="shared" si="22"/>
        <v>18093.937952799864</v>
      </c>
      <c r="AC41" s="1425" t="str">
        <f>IF(OR('Recycling - Case 1'!AC111="No",'Recycling - Case 1'!T151="No"), "No", "Yes")</f>
        <v>Yes</v>
      </c>
      <c r="AD41" s="1101">
        <f t="shared" si="84"/>
        <v>11761.305993742231</v>
      </c>
      <c r="AE41" s="1102">
        <f t="shared" si="85"/>
        <v>1331.6786194018543</v>
      </c>
      <c r="AF41" s="1102">
        <f t="shared" si="86"/>
        <v>199.12505940518434</v>
      </c>
      <c r="AG41" s="1102">
        <f t="shared" si="87"/>
        <v>4801.8282802505955</v>
      </c>
      <c r="AH41" s="1144">
        <f t="shared" si="60"/>
        <v>18093.937952799864</v>
      </c>
      <c r="AI41" s="1425" t="str">
        <f>IF(OR('Recycling - Case 1'!AI22="No",'Recycling - Case 1'!Z151="No"), "No", "Yes")</f>
        <v>Yes</v>
      </c>
      <c r="AJ41" s="1101">
        <f t="shared" si="88"/>
        <v>10956.451633212508</v>
      </c>
      <c r="AK41" s="1102">
        <f t="shared" si="89"/>
        <v>1331.6786194018543</v>
      </c>
      <c r="AL41" s="1102">
        <f t="shared" si="90"/>
        <v>113.56964000947163</v>
      </c>
      <c r="AM41" s="1102">
        <f t="shared" si="91"/>
        <v>5508.3777658135459</v>
      </c>
      <c r="AN41" s="1144">
        <f t="shared" si="92"/>
        <v>17910.077658437382</v>
      </c>
      <c r="AO41" s="1418" t="str">
        <f>IF(OR('Recycling - Case 2'!AC111="No",'Recycling - Case 2'!T151="No"), "No", "Yes")</f>
        <v>No</v>
      </c>
      <c r="AP41" s="1101">
        <f t="shared" si="93"/>
        <v>10956.451633212508</v>
      </c>
      <c r="AQ41" s="1102">
        <f t="shared" si="94"/>
        <v>1331.6786194018543</v>
      </c>
      <c r="AR41" s="1102">
        <f t="shared" si="95"/>
        <v>113.56964000947163</v>
      </c>
      <c r="AS41" s="1102">
        <f t="shared" si="96"/>
        <v>5508.3777658135459</v>
      </c>
      <c r="AT41" s="1144">
        <f t="shared" si="37"/>
        <v>17910.077658437382</v>
      </c>
      <c r="AU41" s="1425" t="str">
        <f>IF(OR('Recycling - Case 2'!AC111="No",'Recycling - Case 2'!T191="No"), "No", "Yes")</f>
        <v>No</v>
      </c>
      <c r="AV41" s="1101">
        <f t="shared" si="63"/>
        <v>10957.06414862273</v>
      </c>
      <c r="AW41" s="1102">
        <f t="shared" si="64"/>
        <v>808.75656585969512</v>
      </c>
      <c r="AX41" s="1102">
        <f t="shared" si="65"/>
        <v>113.5696400094716</v>
      </c>
      <c r="AY41" s="1102">
        <f t="shared" si="66"/>
        <v>5508.3777658135459</v>
      </c>
      <c r="AZ41" s="1144">
        <f t="shared" si="67"/>
        <v>17387.768120305445</v>
      </c>
      <c r="BA41" s="1425" t="str">
        <f>IF(OR('Recycling - Case 3'!AC111="No",'Recycling - Case 3'!T151="No"), "No", "Yes")</f>
        <v>No</v>
      </c>
      <c r="BB41" s="1101">
        <f t="shared" si="97"/>
        <v>10957.06414862273</v>
      </c>
      <c r="BC41" s="1102">
        <f t="shared" si="98"/>
        <v>808.75656585969512</v>
      </c>
      <c r="BD41" s="1102">
        <f t="shared" si="99"/>
        <v>113.5696400094716</v>
      </c>
      <c r="BE41" s="1102">
        <f t="shared" si="100"/>
        <v>5508.3777658135459</v>
      </c>
      <c r="BF41" s="1144">
        <f t="shared" si="47"/>
        <v>17387.768120305445</v>
      </c>
      <c r="BG41" s="1425" t="str">
        <f>IF(OR('Recycling - Case 3'!AC111="No",'Recycling - Case 3'!T191="No"), "No", "Yes")</f>
        <v>No</v>
      </c>
      <c r="BH41" s="596">
        <f t="shared" si="48"/>
        <v>2031</v>
      </c>
      <c r="BI41" s="1102">
        <f>'Recycling - Case 1'!BV111</f>
        <v>81.494920639413479</v>
      </c>
      <c r="BJ41" s="417">
        <f>'Recycling - Case 1'!BW111</f>
        <v>0.52967577163489288</v>
      </c>
      <c r="BK41" s="1144">
        <f>'Recycling - Case 1'!BX111</f>
        <v>35.846430699385166</v>
      </c>
      <c r="BL41" s="1101">
        <f>'Recycling - Case 1'!BY111</f>
        <v>81.494920639413479</v>
      </c>
      <c r="BM41" s="417">
        <f>'Recycling - Case 1'!BZ111</f>
        <v>0.52967577163489288</v>
      </c>
      <c r="BN41" s="1144">
        <f>'Recycling - Case 1'!CA111</f>
        <v>35.846430699385166</v>
      </c>
      <c r="BO41" s="1102">
        <f>'Recycling - Case 2'!BV111</f>
        <v>75.17701222946782</v>
      </c>
      <c r="BP41" s="417">
        <f>'Recycling - Case 2'!BW111</f>
        <v>0.67980919561968878</v>
      </c>
      <c r="BQ41" s="1144">
        <f>'Recycling - Case 2'!BX111</f>
        <v>35.846430699385166</v>
      </c>
      <c r="BR41" s="1101">
        <f>'Recycling - Case 2'!BY111</f>
        <v>75.17701222946782</v>
      </c>
      <c r="BS41" s="417">
        <f>'Recycling - Case 2'!BZ111</f>
        <v>0.67980919561968878</v>
      </c>
      <c r="BT41" s="1144">
        <f>'Recycling - Case 2'!CA111</f>
        <v>35.846430699385166</v>
      </c>
      <c r="BU41" s="1102">
        <f>'Recycling - Case 3'!BV111</f>
        <v>75.17701222946782</v>
      </c>
      <c r="BV41" s="417">
        <f>'Recycling - Case 3'!BW111</f>
        <v>0.67980919561968878</v>
      </c>
      <c r="BW41" s="1144">
        <f>'Recycling - Case 3'!BX111</f>
        <v>35.846430699385166</v>
      </c>
      <c r="BX41" s="1101">
        <f>'Recycling - Case 3'!BY111</f>
        <v>75.17701222946782</v>
      </c>
      <c r="BY41" s="417">
        <f>'Recycling - Case 3'!BZ111</f>
        <v>0.67980919561968878</v>
      </c>
      <c r="BZ41" s="1144">
        <f>'Recycling - Case 3'!CA111</f>
        <v>35.846430699385166</v>
      </c>
      <c r="CA41" s="596">
        <v>2031</v>
      </c>
      <c r="CB41" s="649">
        <f>'Recycling - Case 1'!CB111</f>
        <v>0.24572732316868784</v>
      </c>
      <c r="CC41" s="417">
        <f>'Recycling - Case 1'!CC111</f>
        <v>0.25716284790880262</v>
      </c>
      <c r="CD41" s="417">
        <f>'Recycling - Case 1'!CD111</f>
        <v>0.24572732316868784</v>
      </c>
      <c r="CE41" s="525">
        <f>'Recycling - Case 1'!CE111</f>
        <v>0.25716284790880262</v>
      </c>
      <c r="CF41" s="649">
        <f>'Recycling - Case 2'!CB111</f>
        <v>0.31568182082170804</v>
      </c>
      <c r="CG41" s="417">
        <f>'Recycling - Case 2'!CC111</f>
        <v>0.31075440256461695</v>
      </c>
      <c r="CH41" s="417">
        <f>'Recycling - Case 2'!CD111</f>
        <v>0.31568182082170804</v>
      </c>
      <c r="CI41" s="525">
        <f>'Recycling - Case 2'!CE111</f>
        <v>0.31075440256461695</v>
      </c>
      <c r="CJ41" s="649">
        <f>'Recycling - Case 3'!CB111</f>
        <v>0.31568182082170804</v>
      </c>
      <c r="CK41" s="417">
        <f>'Recycling - Case 3'!CC111</f>
        <v>0.31075440256461695</v>
      </c>
      <c r="CL41" s="417">
        <f>'Recycling - Case 3'!CD111</f>
        <v>0.31568182082170804</v>
      </c>
      <c r="CM41" s="525">
        <f>'Recycling - Case 3'!CE111</f>
        <v>0.31075440256461695</v>
      </c>
    </row>
    <row r="42" spans="1:91">
      <c r="A42" s="4">
        <f>'Input data'!A131</f>
        <v>2031</v>
      </c>
      <c r="B42" s="4"/>
      <c r="C42" s="769">
        <f>'4A SWD Case 1'!BG101</f>
        <v>560.06219017820149</v>
      </c>
      <c r="D42" s="3">
        <f>'4B Biological treatment '!T95</f>
        <v>0.73859047110474463</v>
      </c>
      <c r="E42" s="1159">
        <f>'4B Biological treatment '!U95</f>
        <v>33.236571199713502</v>
      </c>
      <c r="F42" s="1159">
        <f>'4B Biological treatment '!W95</f>
        <v>1.9941942719828099</v>
      </c>
      <c r="G42" s="952">
        <f>'4C2 Open-burning '!R102</f>
        <v>20.920968124892415</v>
      </c>
      <c r="H42" s="952">
        <f>'4C2 Open-burning '!Z102</f>
        <v>7.0392652707923649</v>
      </c>
      <c r="I42" s="952">
        <f>'4C2 Open-burning '!AH102</f>
        <v>9.7998453527910451E-2</v>
      </c>
      <c r="J42" s="987">
        <f>'4D Wastewater treatment and dis'!AV139</f>
        <v>179.14735481190519</v>
      </c>
      <c r="K42" s="770">
        <f>'4D Wastewater treatment and dis'!AW139</f>
        <v>3.3539800941954407</v>
      </c>
      <c r="L42" s="771">
        <f t="shared" si="69"/>
        <v>11761.305993742231</v>
      </c>
      <c r="M42" s="772">
        <f t="shared" si="70"/>
        <v>15.510399893199637</v>
      </c>
      <c r="N42" s="771">
        <f t="shared" si="71"/>
        <v>1316.1682195086546</v>
      </c>
      <c r="O42" s="773">
        <f t="shared" si="72"/>
        <v>199.12505940518434</v>
      </c>
      <c r="P42" s="771">
        <f t="shared" si="73"/>
        <v>4801.8282802505955</v>
      </c>
      <c r="Q42" s="519">
        <f t="shared" si="74"/>
        <v>11761.305993742231</v>
      </c>
      <c r="R42" s="521">
        <f t="shared" si="75"/>
        <v>1331.6786194018543</v>
      </c>
      <c r="S42" s="518">
        <f t="shared" si="76"/>
        <v>199.12505940518434</v>
      </c>
      <c r="T42" s="519">
        <f t="shared" si="77"/>
        <v>4801.8282802505955</v>
      </c>
      <c r="U42" s="519">
        <f t="shared" si="78"/>
        <v>18093.937952799864</v>
      </c>
      <c r="V42" s="3"/>
      <c r="W42" s="596">
        <f t="shared" si="79"/>
        <v>2032</v>
      </c>
      <c r="X42" s="1101">
        <f t="shared" si="80"/>
        <v>11380.395485236719</v>
      </c>
      <c r="Y42" s="1102">
        <f t="shared" si="81"/>
        <v>1339.2129474218684</v>
      </c>
      <c r="Z42" s="1102">
        <f t="shared" si="82"/>
        <v>188.74787757514079</v>
      </c>
      <c r="AA42" s="1102">
        <f t="shared" si="83"/>
        <v>4880.3350275419698</v>
      </c>
      <c r="AB42" s="1144">
        <f t="shared" si="22"/>
        <v>17788.691337775697</v>
      </c>
      <c r="AC42" s="1425" t="str">
        <f>IF(OR('Recycling - Case 1'!AC112="No",'Recycling - Case 1'!T152="No"), "No", "Yes")</f>
        <v>Yes</v>
      </c>
      <c r="AD42" s="1101">
        <f t="shared" si="84"/>
        <v>11380.395485236719</v>
      </c>
      <c r="AE42" s="1102">
        <f t="shared" si="85"/>
        <v>1339.2129474218684</v>
      </c>
      <c r="AF42" s="1102">
        <f t="shared" si="86"/>
        <v>188.74787757514079</v>
      </c>
      <c r="AG42" s="1102">
        <f t="shared" si="87"/>
        <v>4880.3350275419698</v>
      </c>
      <c r="AH42" s="1144">
        <f t="shared" si="60"/>
        <v>17788.691337775697</v>
      </c>
      <c r="AI42" s="1425" t="str">
        <f>IF(OR('Recycling - Case 1'!AI23="No",'Recycling - Case 1'!Z152="No"), "No", "Yes")</f>
        <v>Yes</v>
      </c>
      <c r="AJ42" s="1101">
        <f t="shared" si="88"/>
        <v>10529.938400101773</v>
      </c>
      <c r="AK42" s="1102">
        <f t="shared" si="89"/>
        <v>1339.2129474218684</v>
      </c>
      <c r="AL42" s="1102">
        <f t="shared" si="90"/>
        <v>98.459932743278046</v>
      </c>
      <c r="AM42" s="1102">
        <f t="shared" si="91"/>
        <v>5555.4133281488503</v>
      </c>
      <c r="AN42" s="1144">
        <f t="shared" si="92"/>
        <v>17523.02460841577</v>
      </c>
      <c r="AO42" s="1418" t="str">
        <f>IF(OR('Recycling - Case 2'!AC112="No",'Recycling - Case 2'!T152="No"), "No", "Yes")</f>
        <v>No</v>
      </c>
      <c r="AP42" s="1101">
        <f t="shared" si="93"/>
        <v>10529.938400101773</v>
      </c>
      <c r="AQ42" s="1102">
        <f t="shared" si="94"/>
        <v>1339.2129474218684</v>
      </c>
      <c r="AR42" s="1102">
        <f t="shared" si="95"/>
        <v>98.459932743278046</v>
      </c>
      <c r="AS42" s="1102">
        <f t="shared" si="96"/>
        <v>5555.4133281488503</v>
      </c>
      <c r="AT42" s="1144">
        <f t="shared" si="37"/>
        <v>17523.02460841577</v>
      </c>
      <c r="AU42" s="1425" t="str">
        <f>IF(OR('Recycling - Case 2'!AC112="No",'Recycling - Case 2'!T192="No"), "No", "Yes")</f>
        <v>No</v>
      </c>
      <c r="AV42" s="1101">
        <f t="shared" si="63"/>
        <v>10530.629363786578</v>
      </c>
      <c r="AW42" s="1102">
        <f t="shared" si="64"/>
        <v>813.33232247750743</v>
      </c>
      <c r="AX42" s="1102">
        <f t="shared" si="65"/>
        <v>98.459932743278046</v>
      </c>
      <c r="AY42" s="1102">
        <f t="shared" si="66"/>
        <v>5555.4133281488503</v>
      </c>
      <c r="AZ42" s="1144">
        <f t="shared" si="67"/>
        <v>16997.834947156214</v>
      </c>
      <c r="BA42" s="1425" t="str">
        <f>IF(OR('Recycling - Case 3'!AC112="No",'Recycling - Case 3'!T152="No"), "No", "Yes")</f>
        <v>No</v>
      </c>
      <c r="BB42" s="1101">
        <f t="shared" si="97"/>
        <v>10530.629363786578</v>
      </c>
      <c r="BC42" s="1102">
        <f t="shared" si="98"/>
        <v>813.33232247750743</v>
      </c>
      <c r="BD42" s="1102">
        <f t="shared" si="99"/>
        <v>98.459932743278046</v>
      </c>
      <c r="BE42" s="1102">
        <f t="shared" si="100"/>
        <v>5555.4133281488503</v>
      </c>
      <c r="BF42" s="1144">
        <f t="shared" si="47"/>
        <v>16997.834947156214</v>
      </c>
      <c r="BG42" s="1425" t="str">
        <f>IF(OR('Recycling - Case 3'!AC112="No",'Recycling - Case 3'!T192="No"), "No", "Yes")</f>
        <v>No</v>
      </c>
      <c r="BH42" s="596">
        <f t="shared" si="48"/>
        <v>2032</v>
      </c>
      <c r="BI42" s="1102">
        <f>'Recycling - Case 1'!BV112</f>
        <v>80.502420149338775</v>
      </c>
      <c r="BJ42" s="417">
        <f>'Recycling - Case 1'!BW112</f>
        <v>0.5415267169491248</v>
      </c>
      <c r="BK42" s="1144">
        <f>'Recycling - Case 1'!BX112</f>
        <v>35.664904184329373</v>
      </c>
      <c r="BL42" s="1101">
        <f>'Recycling - Case 1'!BY112</f>
        <v>80.502420149338775</v>
      </c>
      <c r="BM42" s="417">
        <f>'Recycling - Case 1'!BZ112</f>
        <v>0.5415267169491248</v>
      </c>
      <c r="BN42" s="1144">
        <f>'Recycling - Case 1'!CA112</f>
        <v>35.664904184329373</v>
      </c>
      <c r="BO42" s="1102">
        <f>'Recycling - Case 2'!BV112</f>
        <v>75.096103015028518</v>
      </c>
      <c r="BP42" s="417">
        <f>'Recycling - Case 2'!BW112</f>
        <v>0.68536648498107522</v>
      </c>
      <c r="BQ42" s="1144">
        <f>'Recycling - Case 2'!BX112</f>
        <v>35.664904184329373</v>
      </c>
      <c r="BR42" s="1101">
        <f>'Recycling - Case 2'!BY112</f>
        <v>75.096103015028518</v>
      </c>
      <c r="BS42" s="417">
        <f>'Recycling - Case 2'!BZ112</f>
        <v>0.68536648498107522</v>
      </c>
      <c r="BT42" s="1144">
        <f>'Recycling - Case 2'!CA112</f>
        <v>35.664904184329373</v>
      </c>
      <c r="BU42" s="1102">
        <f>'Recycling - Case 3'!BV112</f>
        <v>75.096103015028518</v>
      </c>
      <c r="BV42" s="417">
        <f>'Recycling - Case 3'!BW112</f>
        <v>0.68536648498107522</v>
      </c>
      <c r="BW42" s="1144">
        <f>'Recycling - Case 3'!BX112</f>
        <v>35.664904184329373</v>
      </c>
      <c r="BX42" s="1101">
        <f>'Recycling - Case 3'!BY112</f>
        <v>75.096103015028518</v>
      </c>
      <c r="BY42" s="417">
        <f>'Recycling - Case 3'!BZ112</f>
        <v>0.68536648498107522</v>
      </c>
      <c r="BZ42" s="1144">
        <f>'Recycling - Case 3'!CA112</f>
        <v>35.664904184329373</v>
      </c>
      <c r="CA42" s="596">
        <v>2032</v>
      </c>
      <c r="CB42" s="649">
        <f>'Recycling - Case 1'!CB112</f>
        <v>0.26236620302590219</v>
      </c>
      <c r="CC42" s="417">
        <f>'Recycling - Case 1'!CC112</f>
        <v>0.27452909787877733</v>
      </c>
      <c r="CD42" s="417">
        <f>'Recycling - Case 1'!CD112</f>
        <v>0.26236620302590219</v>
      </c>
      <c r="CE42" s="525">
        <f>'Recycling - Case 1'!CE112</f>
        <v>0.27452909787877733</v>
      </c>
      <c r="CF42" s="649">
        <f>'Recycling - Case 2'!CB112</f>
        <v>0.33524888005816689</v>
      </c>
      <c r="CG42" s="417">
        <f>'Recycling - Case 2'!CC112</f>
        <v>0.31514902690029456</v>
      </c>
      <c r="CH42" s="417">
        <f>'Recycling - Case 2'!CD112</f>
        <v>0.33524888005816689</v>
      </c>
      <c r="CI42" s="525">
        <f>'Recycling - Case 2'!CE112</f>
        <v>0.31514902690029456</v>
      </c>
      <c r="CJ42" s="649">
        <f>'Recycling - Case 3'!CB112</f>
        <v>0.33524888005816689</v>
      </c>
      <c r="CK42" s="417">
        <f>'Recycling - Case 3'!CC112</f>
        <v>0.31514902690029456</v>
      </c>
      <c r="CL42" s="417">
        <f>'Recycling - Case 3'!CD112</f>
        <v>0.33524888005816689</v>
      </c>
      <c r="CM42" s="525">
        <f>'Recycling - Case 3'!CE112</f>
        <v>0.31514902690029456</v>
      </c>
    </row>
    <row r="43" spans="1:91">
      <c r="A43" s="4">
        <f>'Input data'!A132</f>
        <v>2032</v>
      </c>
      <c r="B43" s="4"/>
      <c r="C43" s="769">
        <f>'4A SWD Case 1'!BG102</f>
        <v>541.92359453508186</v>
      </c>
      <c r="D43" s="3">
        <f>'4B Biological treatment '!T96</f>
        <v>0.74276924427169644</v>
      </c>
      <c r="E43" s="1159">
        <f>'4B Biological treatment '!U96</f>
        <v>33.424615992226336</v>
      </c>
      <c r="F43" s="1159">
        <f>'4B Biological treatment '!W96</f>
        <v>2.00547695953358</v>
      </c>
      <c r="G43" s="952">
        <f>'4C2 Open-burning '!R103</f>
        <v>19.830695052577632</v>
      </c>
      <c r="H43" s="952">
        <f>'4C2 Open-burning '!Z103</f>
        <v>6.6724217610747676</v>
      </c>
      <c r="I43" s="952">
        <f>'4C2 Open-burning '!AH103</f>
        <v>9.2891372709654974E-2</v>
      </c>
      <c r="J43" s="987">
        <f>'4D Wastewater treatment and dis'!AV140</f>
        <v>182.46300004329916</v>
      </c>
      <c r="K43" s="770">
        <f>'4D Wastewater treatment and dis'!AW140</f>
        <v>3.3826194407506049</v>
      </c>
      <c r="L43" s="771">
        <f t="shared" si="69"/>
        <v>11380.395485236719</v>
      </c>
      <c r="M43" s="772">
        <f t="shared" si="70"/>
        <v>15.598154129705625</v>
      </c>
      <c r="N43" s="771">
        <f t="shared" si="71"/>
        <v>1323.6147932921629</v>
      </c>
      <c r="O43" s="773">
        <f t="shared" si="72"/>
        <v>188.74787757514079</v>
      </c>
      <c r="P43" s="771">
        <f t="shared" si="73"/>
        <v>4880.3350275419698</v>
      </c>
      <c r="Q43" s="519">
        <f t="shared" si="74"/>
        <v>11380.395485236719</v>
      </c>
      <c r="R43" s="521">
        <f t="shared" si="75"/>
        <v>1339.2129474218684</v>
      </c>
      <c r="S43" s="518">
        <f t="shared" si="76"/>
        <v>188.74787757514079</v>
      </c>
      <c r="T43" s="519">
        <f t="shared" si="77"/>
        <v>4880.3350275419698</v>
      </c>
      <c r="U43" s="519">
        <f t="shared" si="78"/>
        <v>17788.691337775697</v>
      </c>
      <c r="V43" s="3"/>
      <c r="W43" s="596">
        <f t="shared" si="79"/>
        <v>2033</v>
      </c>
      <c r="X43" s="1101">
        <f t="shared" si="80"/>
        <v>11007.696455543331</v>
      </c>
      <c r="Y43" s="1102">
        <f t="shared" si="81"/>
        <v>1347.5808540020673</v>
      </c>
      <c r="Z43" s="1102">
        <f t="shared" si="82"/>
        <v>178.4277894102205</v>
      </c>
      <c r="AA43" s="1102">
        <f t="shared" si="83"/>
        <v>4959.7700664419835</v>
      </c>
      <c r="AB43" s="1144">
        <f t="shared" si="22"/>
        <v>17493.475165397602</v>
      </c>
      <c r="AC43" s="1425" t="str">
        <f>IF(OR('Recycling - Case 1'!AC113="No",'Recycling - Case 1'!T153="No"), "No", "Yes")</f>
        <v>Yes</v>
      </c>
      <c r="AD43" s="1101">
        <f t="shared" si="84"/>
        <v>11007.696455543331</v>
      </c>
      <c r="AE43" s="1102">
        <f t="shared" si="85"/>
        <v>1347.5808540020673</v>
      </c>
      <c r="AF43" s="1102">
        <f t="shared" si="86"/>
        <v>178.4277894102205</v>
      </c>
      <c r="AG43" s="1102">
        <f t="shared" si="87"/>
        <v>4959.7700664419835</v>
      </c>
      <c r="AH43" s="1144">
        <f t="shared" si="60"/>
        <v>17493.475165397602</v>
      </c>
      <c r="AI43" s="1425" t="str">
        <f>IF(OR('Recycling - Case 1'!AI24="No",'Recycling - Case 1'!Z153="No"), "No", "Yes")</f>
        <v>Yes</v>
      </c>
      <c r="AJ43" s="1101">
        <f t="shared" si="88"/>
        <v>10112.174628318167</v>
      </c>
      <c r="AK43" s="1102">
        <f t="shared" si="89"/>
        <v>1347.5808540020673</v>
      </c>
      <c r="AL43" s="1102">
        <f t="shared" si="90"/>
        <v>98.168343633768458</v>
      </c>
      <c r="AM43" s="1102">
        <f t="shared" si="91"/>
        <v>5602.7801268386283</v>
      </c>
      <c r="AN43" s="1144">
        <f t="shared" si="92"/>
        <v>17160.703952792632</v>
      </c>
      <c r="AO43" s="1418" t="str">
        <f>IF(OR('Recycling - Case 2'!AC113="No",'Recycling - Case 2'!T153="No"), "No", "Yes")</f>
        <v>No</v>
      </c>
      <c r="AP43" s="1101">
        <f t="shared" si="93"/>
        <v>10112.174628318167</v>
      </c>
      <c r="AQ43" s="1102">
        <f t="shared" si="94"/>
        <v>1347.5808540020673</v>
      </c>
      <c r="AR43" s="1102">
        <f t="shared" si="95"/>
        <v>98.168343633768458</v>
      </c>
      <c r="AS43" s="1102">
        <f t="shared" si="96"/>
        <v>5602.7801268386283</v>
      </c>
      <c r="AT43" s="1144">
        <f t="shared" si="37"/>
        <v>17160.703952792632</v>
      </c>
      <c r="AU43" s="1425" t="str">
        <f>IF(OR('Recycling - Case 2'!AC113="No",'Recycling - Case 2'!T193="No"), "No", "Yes")</f>
        <v>No</v>
      </c>
      <c r="AV43" s="1101">
        <f t="shared" si="63"/>
        <v>10112.940446252822</v>
      </c>
      <c r="AW43" s="1102">
        <f t="shared" si="64"/>
        <v>818.41432896964159</v>
      </c>
      <c r="AX43" s="1102">
        <f t="shared" si="65"/>
        <v>98.168343633768458</v>
      </c>
      <c r="AY43" s="1102">
        <f t="shared" si="66"/>
        <v>5602.7801268386283</v>
      </c>
      <c r="AZ43" s="1144">
        <f t="shared" si="67"/>
        <v>16632.30324569486</v>
      </c>
      <c r="BA43" s="1425" t="str">
        <f>IF(OR('Recycling - Case 3'!AC113="No",'Recycling - Case 3'!T153="No"), "No", "Yes")</f>
        <v>No</v>
      </c>
      <c r="BB43" s="1101">
        <f t="shared" si="97"/>
        <v>10112.940446252822</v>
      </c>
      <c r="BC43" s="1102">
        <f t="shared" si="98"/>
        <v>818.41432896964159</v>
      </c>
      <c r="BD43" s="1102">
        <f t="shared" si="99"/>
        <v>98.168343633768458</v>
      </c>
      <c r="BE43" s="1102">
        <f t="shared" si="100"/>
        <v>5602.7801268386283</v>
      </c>
      <c r="BF43" s="1144">
        <f t="shared" si="47"/>
        <v>16632.30324569486</v>
      </c>
      <c r="BG43" s="1425" t="str">
        <f>IF(OR('Recycling - Case 3'!AC113="No",'Recycling - Case 3'!T193="No"), "No", "Yes")</f>
        <v>No</v>
      </c>
      <c r="BH43" s="596">
        <f t="shared" si="48"/>
        <v>2033</v>
      </c>
      <c r="BI43" s="1102">
        <f>'Recycling - Case 1'!BV113</f>
        <v>79.605946996228582</v>
      </c>
      <c r="BJ43" s="417">
        <f>'Recycling - Case 1'!BW113</f>
        <v>0.5537026580901574</v>
      </c>
      <c r="BK43" s="1144">
        <f>'Recycling - Case 1'!BX113</f>
        <v>35.483377669273601</v>
      </c>
      <c r="BL43" s="1101">
        <f>'Recycling - Case 1'!BY113</f>
        <v>79.605946996228582</v>
      </c>
      <c r="BM43" s="417">
        <f>'Recycling - Case 1'!BZ113</f>
        <v>0.5537026580901574</v>
      </c>
      <c r="BN43" s="1144">
        <f>'Recycling - Case 1'!CA113</f>
        <v>35.483377669273601</v>
      </c>
      <c r="BO43" s="1102">
        <f>'Recycling - Case 2'!BV113</f>
        <v>75.538894020945236</v>
      </c>
      <c r="BP43" s="417">
        <f>'Recycling - Case 2'!BW113</f>
        <v>0.68865264375876378</v>
      </c>
      <c r="BQ43" s="1144">
        <f>'Recycling - Case 2'!BX113</f>
        <v>35.483377669273601</v>
      </c>
      <c r="BR43" s="1101">
        <f>'Recycling - Case 2'!BY113</f>
        <v>75.538894020945236</v>
      </c>
      <c r="BS43" s="417">
        <f>'Recycling - Case 2'!BZ113</f>
        <v>0.68865264375876378</v>
      </c>
      <c r="BT43" s="1144">
        <f>'Recycling - Case 2'!CA113</f>
        <v>35.483377669273601</v>
      </c>
      <c r="BU43" s="1102">
        <f>'Recycling - Case 3'!BV113</f>
        <v>75.538894020945236</v>
      </c>
      <c r="BV43" s="417">
        <f>'Recycling - Case 3'!BW113</f>
        <v>0.68865264375876378</v>
      </c>
      <c r="BW43" s="1144">
        <f>'Recycling - Case 3'!BX113</f>
        <v>35.483377669273601</v>
      </c>
      <c r="BX43" s="1101">
        <f>'Recycling - Case 3'!BY113</f>
        <v>75.538894020945236</v>
      </c>
      <c r="BY43" s="417">
        <f>'Recycling - Case 3'!BZ113</f>
        <v>0.68865264375876378</v>
      </c>
      <c r="BZ43" s="1144">
        <f>'Recycling - Case 3'!CA113</f>
        <v>35.483377669273601</v>
      </c>
      <c r="CA43" s="596">
        <v>2033</v>
      </c>
      <c r="CB43" s="649">
        <f>'Recycling - Case 1'!CB113</f>
        <v>0.27873410565375156</v>
      </c>
      <c r="CC43" s="417">
        <f>'Recycling - Case 1'!CC113</f>
        <v>0.29143424820572084</v>
      </c>
      <c r="CD43" s="417">
        <f>'Recycling - Case 1'!CD113</f>
        <v>0.27873410565375156</v>
      </c>
      <c r="CE43" s="525">
        <f>'Recycling - Case 1'!CE113</f>
        <v>0.29143424820572084</v>
      </c>
      <c r="CF43" s="649">
        <f>'Recycling - Case 2'!CB113</f>
        <v>0.33818022722904584</v>
      </c>
      <c r="CG43" s="417">
        <f>'Recycling - Case 2'!CC113</f>
        <v>0.31983179296666453</v>
      </c>
      <c r="CH43" s="417">
        <f>'Recycling - Case 2'!CD113</f>
        <v>0.33818022722904584</v>
      </c>
      <c r="CI43" s="525">
        <f>'Recycling - Case 2'!CE113</f>
        <v>0.31983179296666453</v>
      </c>
      <c r="CJ43" s="649">
        <f>'Recycling - Case 3'!CB113</f>
        <v>0.33818022722904584</v>
      </c>
      <c r="CK43" s="417">
        <f>'Recycling - Case 3'!CC113</f>
        <v>0.31983179296666453</v>
      </c>
      <c r="CL43" s="417">
        <f>'Recycling - Case 3'!CD113</f>
        <v>0.33818022722904584</v>
      </c>
      <c r="CM43" s="525">
        <f>'Recycling - Case 3'!CE113</f>
        <v>0.31983179296666453</v>
      </c>
    </row>
    <row r="44" spans="1:91">
      <c r="A44" s="4">
        <f>'Input data'!A133</f>
        <v>2033</v>
      </c>
      <c r="B44" s="4"/>
      <c r="C44" s="769">
        <f>'4A SWD Case 1'!BG103</f>
        <v>524.17602169253962</v>
      </c>
      <c r="D44" s="3">
        <f>'4B Biological treatment '!T97</f>
        <v>0.74741034609099699</v>
      </c>
      <c r="E44" s="1159">
        <f>'4B Biological treatment '!U97</f>
        <v>33.633465574094863</v>
      </c>
      <c r="F44" s="1159">
        <f>'4B Biological treatment '!W97</f>
        <v>2.0180079344456914</v>
      </c>
      <c r="G44" s="952">
        <f>'4C2 Open-burning '!R104</f>
        <v>18.746420495727179</v>
      </c>
      <c r="H44" s="952">
        <f>'4C2 Open-burning '!Z104</f>
        <v>6.3075965681641302</v>
      </c>
      <c r="I44" s="952">
        <f>'4C2 Open-burning '!AH104</f>
        <v>8.781239026789231E-2</v>
      </c>
      <c r="J44" s="987">
        <f>'4D Wastewater treatment and dis'!AV141</f>
        <v>185.81987237428893</v>
      </c>
      <c r="K44" s="770">
        <f>'4D Wastewater treatment and dis'!AW141</f>
        <v>3.4114604728448907</v>
      </c>
      <c r="L44" s="771">
        <f t="shared" si="69"/>
        <v>11007.696455543331</v>
      </c>
      <c r="M44" s="772">
        <f t="shared" si="70"/>
        <v>15.695617267910936</v>
      </c>
      <c r="N44" s="771">
        <f t="shared" si="71"/>
        <v>1331.8852367341565</v>
      </c>
      <c r="O44" s="773">
        <f t="shared" si="72"/>
        <v>178.4277894102205</v>
      </c>
      <c r="P44" s="771">
        <f t="shared" si="73"/>
        <v>4959.7700664419835</v>
      </c>
      <c r="Q44" s="519">
        <f t="shared" si="74"/>
        <v>11007.696455543331</v>
      </c>
      <c r="R44" s="521">
        <f t="shared" si="75"/>
        <v>1347.5808540020673</v>
      </c>
      <c r="S44" s="518">
        <f t="shared" si="76"/>
        <v>178.4277894102205</v>
      </c>
      <c r="T44" s="519">
        <f t="shared" si="77"/>
        <v>4959.7700664419835</v>
      </c>
      <c r="U44" s="519">
        <f t="shared" si="78"/>
        <v>17493.475165397602</v>
      </c>
      <c r="V44" s="3"/>
      <c r="W44" s="596">
        <f t="shared" si="79"/>
        <v>2034</v>
      </c>
      <c r="X44" s="1101">
        <f t="shared" si="80"/>
        <v>10642.695658328228</v>
      </c>
      <c r="Y44" s="1102">
        <f t="shared" si="81"/>
        <v>1356.5285050696123</v>
      </c>
      <c r="Z44" s="1102">
        <f t="shared" si="82"/>
        <v>168.16212217511551</v>
      </c>
      <c r="AA44" s="1102">
        <f t="shared" si="83"/>
        <v>5040.2878343178654</v>
      </c>
      <c r="AB44" s="1144">
        <f t="shared" si="22"/>
        <v>17207.67411989082</v>
      </c>
      <c r="AC44" s="1425" t="str">
        <f>IF(OR('Recycling - Case 1'!AC114="No",'Recycling - Case 1'!T154="No"), "No", "Yes")</f>
        <v>Yes</v>
      </c>
      <c r="AD44" s="1101">
        <f t="shared" si="84"/>
        <v>10642.695658328228</v>
      </c>
      <c r="AE44" s="1102">
        <f t="shared" si="85"/>
        <v>1356.5285050696123</v>
      </c>
      <c r="AF44" s="1102">
        <f t="shared" si="86"/>
        <v>168.16212217511551</v>
      </c>
      <c r="AG44" s="1102">
        <f t="shared" si="87"/>
        <v>5040.2878343178654</v>
      </c>
      <c r="AH44" s="1144">
        <f t="shared" si="60"/>
        <v>17207.67411989082</v>
      </c>
      <c r="AI44" s="1425" t="str">
        <f>IF(OR('Recycling - Case 1'!AI25="No",'Recycling - Case 1'!Z154="No"), "No", "Yes")</f>
        <v>Yes</v>
      </c>
      <c r="AJ44" s="1101">
        <f t="shared" si="88"/>
        <v>9715.0282788002914</v>
      </c>
      <c r="AK44" s="1102">
        <f t="shared" si="89"/>
        <v>1356.5285050696123</v>
      </c>
      <c r="AL44" s="1102">
        <f t="shared" si="90"/>
        <v>97.880366762577253</v>
      </c>
      <c r="AM44" s="1102">
        <f t="shared" si="91"/>
        <v>5650.6437800601161</v>
      </c>
      <c r="AN44" s="1144">
        <f t="shared" si="92"/>
        <v>16820.080930692598</v>
      </c>
      <c r="AO44" s="1418" t="str">
        <f>IF(OR('Recycling - Case 2'!AC114="No",'Recycling - Case 2'!T154="No"), "No", "Yes")</f>
        <v>No</v>
      </c>
      <c r="AP44" s="1101">
        <f t="shared" si="93"/>
        <v>9715.0282788002914</v>
      </c>
      <c r="AQ44" s="1102">
        <f t="shared" si="94"/>
        <v>1356.5285050696123</v>
      </c>
      <c r="AR44" s="1102">
        <f t="shared" si="95"/>
        <v>97.880366762577253</v>
      </c>
      <c r="AS44" s="1102">
        <f t="shared" si="96"/>
        <v>5650.6437800601161</v>
      </c>
      <c r="AT44" s="1144">
        <f t="shared" si="37"/>
        <v>16820.080930692598</v>
      </c>
      <c r="AU44" s="1425" t="str">
        <f>IF(OR('Recycling - Case 2'!AC114="No",'Recycling - Case 2'!T194="No"), "No", "Yes")</f>
        <v>No</v>
      </c>
      <c r="AV44" s="1101">
        <f t="shared" si="63"/>
        <v>9715.8655731220751</v>
      </c>
      <c r="AW44" s="1102">
        <f t="shared" si="64"/>
        <v>823.84842653978126</v>
      </c>
      <c r="AX44" s="1102">
        <f t="shared" si="65"/>
        <v>97.880366762577253</v>
      </c>
      <c r="AY44" s="1102">
        <f t="shared" si="66"/>
        <v>5650.6437800601161</v>
      </c>
      <c r="AZ44" s="1144">
        <f t="shared" si="67"/>
        <v>16288.238146484551</v>
      </c>
      <c r="BA44" s="1425" t="str">
        <f>IF(OR('Recycling - Case 3'!AC114="No",'Recycling - Case 3'!T154="No"), "No", "Yes")</f>
        <v>No</v>
      </c>
      <c r="BB44" s="1101">
        <f t="shared" si="97"/>
        <v>9715.8655731220751</v>
      </c>
      <c r="BC44" s="1102">
        <f t="shared" si="98"/>
        <v>823.84842653978126</v>
      </c>
      <c r="BD44" s="1102">
        <f t="shared" si="99"/>
        <v>97.880366762577253</v>
      </c>
      <c r="BE44" s="1102">
        <f t="shared" si="100"/>
        <v>5650.6437800601161</v>
      </c>
      <c r="BF44" s="1144">
        <f t="shared" si="47"/>
        <v>16288.238146484551</v>
      </c>
      <c r="BG44" s="1425" t="str">
        <f>IF(OR('Recycling - Case 3'!AC114="No",'Recycling - Case 3'!T194="No"), "No", "Yes")</f>
        <v>No</v>
      </c>
      <c r="BH44" s="596">
        <f t="shared" si="48"/>
        <v>2034</v>
      </c>
      <c r="BI44" s="1102">
        <f>'Recycling - Case 1'!BV114</f>
        <v>78.787691926572478</v>
      </c>
      <c r="BJ44" s="417">
        <f>'Recycling - Case 1'!BW114</f>
        <v>0.5660901418647214</v>
      </c>
      <c r="BK44" s="1144">
        <f>'Recycling - Case 1'!BX114</f>
        <v>35.301851154217808</v>
      </c>
      <c r="BL44" s="1101">
        <f>'Recycling - Case 1'!BY114</f>
        <v>78.787691926572478</v>
      </c>
      <c r="BM44" s="417">
        <f>'Recycling - Case 1'!BZ114</f>
        <v>0.5660901418647214</v>
      </c>
      <c r="BN44" s="1144">
        <f>'Recycling - Case 1'!CA114</f>
        <v>35.301851154217808</v>
      </c>
      <c r="BO44" s="1102">
        <f>'Recycling - Case 2'!BV114</f>
        <v>76.020462046732973</v>
      </c>
      <c r="BP44" s="417">
        <f>'Recycling - Case 2'!BW114</f>
        <v>0.69205765911572981</v>
      </c>
      <c r="BQ44" s="1144">
        <f>'Recycling - Case 2'!BX114</f>
        <v>35.301851154217808</v>
      </c>
      <c r="BR44" s="1101">
        <f>'Recycling - Case 2'!BY114</f>
        <v>76.020462046732973</v>
      </c>
      <c r="BS44" s="417">
        <f>'Recycling - Case 2'!BZ114</f>
        <v>0.69205765911572981</v>
      </c>
      <c r="BT44" s="1144">
        <f>'Recycling - Case 2'!CA114</f>
        <v>35.301851154217808</v>
      </c>
      <c r="BU44" s="1102">
        <f>'Recycling - Case 3'!BV114</f>
        <v>76.020462046732973</v>
      </c>
      <c r="BV44" s="417">
        <f>'Recycling - Case 3'!BW114</f>
        <v>0.69205765911572981</v>
      </c>
      <c r="BW44" s="1144">
        <f>'Recycling - Case 3'!BX114</f>
        <v>35.301851154217808</v>
      </c>
      <c r="BX44" s="1101">
        <f>'Recycling - Case 3'!BY114</f>
        <v>76.020462046732973</v>
      </c>
      <c r="BY44" s="417">
        <f>'Recycling - Case 3'!BZ114</f>
        <v>0.69205765911572981</v>
      </c>
      <c r="BZ44" s="1144">
        <f>'Recycling - Case 3'!CA114</f>
        <v>35.301851154217808</v>
      </c>
      <c r="CA44" s="596">
        <v>2034</v>
      </c>
      <c r="CB44" s="649">
        <f>'Recycling - Case 1'!CB114</f>
        <v>0.29484843793873183</v>
      </c>
      <c r="CC44" s="417">
        <f>'Recycling - Case 1'!CC114</f>
        <v>0.30771349060468178</v>
      </c>
      <c r="CD44" s="417">
        <f>'Recycling - Case 1'!CD114</f>
        <v>0.29484843793873183</v>
      </c>
      <c r="CE44" s="525">
        <f>'Recycling - Case 1'!CE114</f>
        <v>0.30771349060468178</v>
      </c>
      <c r="CF44" s="649">
        <f>'Recycling - Case 2'!CB114</f>
        <v>0.34109031387957867</v>
      </c>
      <c r="CG44" s="417">
        <f>'Recycling - Case 2'!CC114</f>
        <v>0.324655091654937</v>
      </c>
      <c r="CH44" s="417">
        <f>'Recycling - Case 2'!CD114</f>
        <v>0.34109031387957867</v>
      </c>
      <c r="CI44" s="525">
        <f>'Recycling - Case 2'!CE114</f>
        <v>0.324655091654937</v>
      </c>
      <c r="CJ44" s="649">
        <f>'Recycling - Case 3'!CB114</f>
        <v>0.34109031387957867</v>
      </c>
      <c r="CK44" s="417">
        <f>'Recycling - Case 3'!CC114</f>
        <v>0.324655091654937</v>
      </c>
      <c r="CL44" s="417">
        <f>'Recycling - Case 3'!CD114</f>
        <v>0.34109031387957867</v>
      </c>
      <c r="CM44" s="525">
        <f>'Recycling - Case 3'!CE114</f>
        <v>0.324655091654937</v>
      </c>
    </row>
    <row r="45" spans="1:91">
      <c r="A45" s="4">
        <f>'Input data'!A134</f>
        <v>2034</v>
      </c>
      <c r="B45" s="4"/>
      <c r="C45" s="769">
        <f>'4A SWD Case 1'!BG104</f>
        <v>506.79503134896328</v>
      </c>
      <c r="D45" s="3">
        <f>'4B Biological treatment '!T98</f>
        <v>0.75237299227377297</v>
      </c>
      <c r="E45" s="1159">
        <f>'4B Biological treatment '!U98</f>
        <v>33.856784652319782</v>
      </c>
      <c r="F45" s="1159">
        <f>'4B Biological treatment '!W98</f>
        <v>2.0314070791391865</v>
      </c>
      <c r="G45" s="952">
        <f>'4C2 Open-burning '!R105</f>
        <v>17.667863644831936</v>
      </c>
      <c r="H45" s="952">
        <f>'4C2 Open-burning '!Z105</f>
        <v>5.9446952082577216</v>
      </c>
      <c r="I45" s="952">
        <f>'4C2 Open-burning '!AH105</f>
        <v>8.2760190828617519E-2</v>
      </c>
      <c r="J45" s="987">
        <f>'4D Wastewater treatment and dis'!AV142</f>
        <v>189.22383733385854</v>
      </c>
      <c r="K45" s="770">
        <f>'4D Wastewater treatment and dis'!AW142</f>
        <v>3.4406040332478574</v>
      </c>
      <c r="L45" s="771">
        <f t="shared" si="69"/>
        <v>10642.695658328228</v>
      </c>
      <c r="M45" s="772">
        <f t="shared" si="70"/>
        <v>15.799832837749232</v>
      </c>
      <c r="N45" s="771">
        <f t="shared" si="71"/>
        <v>1340.7286722318631</v>
      </c>
      <c r="O45" s="773">
        <f t="shared" si="72"/>
        <v>168.16212217511551</v>
      </c>
      <c r="P45" s="771">
        <f t="shared" si="73"/>
        <v>5040.2878343178654</v>
      </c>
      <c r="Q45" s="519">
        <f t="shared" si="74"/>
        <v>10642.695658328228</v>
      </c>
      <c r="R45" s="521">
        <f t="shared" si="75"/>
        <v>1356.5285050696123</v>
      </c>
      <c r="S45" s="518">
        <f t="shared" si="76"/>
        <v>168.16212217511551</v>
      </c>
      <c r="T45" s="519">
        <f t="shared" si="77"/>
        <v>5040.2878343178654</v>
      </c>
      <c r="U45" s="519">
        <f t="shared" si="78"/>
        <v>17207.67411989082</v>
      </c>
      <c r="V45" s="3"/>
      <c r="W45" s="596">
        <f t="shared" si="79"/>
        <v>2035</v>
      </c>
      <c r="X45" s="1101">
        <f t="shared" si="80"/>
        <v>10284.894128595017</v>
      </c>
      <c r="Y45" s="1102">
        <f t="shared" si="81"/>
        <v>1366.091938795339</v>
      </c>
      <c r="Z45" s="1102">
        <f t="shared" si="82"/>
        <v>157.95132706299165</v>
      </c>
      <c r="AA45" s="1102">
        <f t="shared" si="83"/>
        <v>5121.7495469363903</v>
      </c>
      <c r="AB45" s="1144">
        <f t="shared" si="22"/>
        <v>16930.68694138974</v>
      </c>
      <c r="AC45" s="1425" t="str">
        <f>IF(OR('Recycling - Case 1'!AC115="No",'Recycling - Case 1'!T155="No"), "No", "Yes")</f>
        <v>Yes</v>
      </c>
      <c r="AD45" s="1101">
        <f t="shared" si="84"/>
        <v>10284.894128595017</v>
      </c>
      <c r="AE45" s="1102">
        <f t="shared" si="85"/>
        <v>1366.091938795339</v>
      </c>
      <c r="AF45" s="1102">
        <f t="shared" si="86"/>
        <v>157.95132706299165</v>
      </c>
      <c r="AG45" s="1102">
        <f t="shared" si="87"/>
        <v>5121.7495469363903</v>
      </c>
      <c r="AH45" s="1144">
        <f t="shared" si="60"/>
        <v>16930.68694138974</v>
      </c>
      <c r="AI45" s="1425" t="str">
        <f>IF(OR('Recycling - Case 1'!AI26="No",'Recycling - Case 1'!Z155="No"), "No", "Yes")</f>
        <v>Yes</v>
      </c>
      <c r="AJ45" s="1101">
        <f t="shared" si="88"/>
        <v>9337.4946864410322</v>
      </c>
      <c r="AK45" s="1102">
        <f t="shared" si="89"/>
        <v>1366.091938795339</v>
      </c>
      <c r="AL45" s="1102">
        <f t="shared" si="90"/>
        <v>97.596943999394412</v>
      </c>
      <c r="AM45" s="1102">
        <f t="shared" si="91"/>
        <v>5698.8386696360794</v>
      </c>
      <c r="AN45" s="1144">
        <f t="shared" si="92"/>
        <v>16500.022238871847</v>
      </c>
      <c r="AO45" s="1418" t="str">
        <f>IF(OR('Recycling - Case 2'!AC115="No",'Recycling - Case 2'!T155="No"), "No", "Yes")</f>
        <v>No</v>
      </c>
      <c r="AP45" s="1101">
        <f t="shared" si="93"/>
        <v>9337.4946864410322</v>
      </c>
      <c r="AQ45" s="1102">
        <f t="shared" si="94"/>
        <v>1366.091938795339</v>
      </c>
      <c r="AR45" s="1102">
        <f t="shared" si="95"/>
        <v>97.596943999394412</v>
      </c>
      <c r="AS45" s="1102">
        <f t="shared" si="96"/>
        <v>5698.8386696360794</v>
      </c>
      <c r="AT45" s="1144">
        <f t="shared" si="37"/>
        <v>16500.022238871847</v>
      </c>
      <c r="AU45" s="1425" t="str">
        <f>IF(OR('Recycling - Case 2'!AC115="No",'Recycling - Case 2'!T195="No"), "No", "Yes")</f>
        <v>No</v>
      </c>
      <c r="AV45" s="1101">
        <f t="shared" si="63"/>
        <v>9338.4002862920897</v>
      </c>
      <c r="AW45" s="1102">
        <f t="shared" si="64"/>
        <v>829.65650193061356</v>
      </c>
      <c r="AX45" s="1102">
        <f t="shared" si="65"/>
        <v>97.596943999394412</v>
      </c>
      <c r="AY45" s="1102">
        <f t="shared" si="66"/>
        <v>5698.8386696360794</v>
      </c>
      <c r="AZ45" s="1144">
        <f t="shared" si="67"/>
        <v>15964.492401858179</v>
      </c>
      <c r="BA45" s="1425" t="str">
        <f>IF(OR('Recycling - Case 3'!AC115="No",'Recycling - Case 3'!T155="No"), "No", "Yes")</f>
        <v>No</v>
      </c>
      <c r="BB45" s="1101">
        <f t="shared" si="97"/>
        <v>9338.4002862920897</v>
      </c>
      <c r="BC45" s="1102">
        <f t="shared" si="98"/>
        <v>829.65650193061356</v>
      </c>
      <c r="BD45" s="1102">
        <f t="shared" si="99"/>
        <v>97.596943999394412</v>
      </c>
      <c r="BE45" s="1102">
        <f t="shared" si="100"/>
        <v>5698.8386696360794</v>
      </c>
      <c r="BF45" s="1144">
        <f t="shared" si="47"/>
        <v>15964.492401858179</v>
      </c>
      <c r="BG45" s="1425" t="str">
        <f>IF(OR('Recycling - Case 3'!AC115="No",'Recycling - Case 3'!T195="No"), "No", "Yes")</f>
        <v>No</v>
      </c>
      <c r="BH45" s="596">
        <f t="shared" si="48"/>
        <v>2035</v>
      </c>
      <c r="BI45" s="1102">
        <f>'Recycling - Case 1'!BV115</f>
        <v>78.048412096960703</v>
      </c>
      <c r="BJ45" s="417">
        <f>'Recycling - Case 1'!BW115</f>
        <v>0.57868022807681041</v>
      </c>
      <c r="BK45" s="1144">
        <f>'Recycling - Case 1'!BX115</f>
        <v>35.120324639162028</v>
      </c>
      <c r="BL45" s="1101">
        <f>'Recycling - Case 1'!BY115</f>
        <v>78.048412096960703</v>
      </c>
      <c r="BM45" s="417">
        <f>'Recycling - Case 1'!BZ115</f>
        <v>0.57868022807681041</v>
      </c>
      <c r="BN45" s="1144">
        <f>'Recycling - Case 1'!CA115</f>
        <v>35.120324639162028</v>
      </c>
      <c r="BO45" s="1102">
        <f>'Recycling - Case 2'!BV115</f>
        <v>76.542892924782237</v>
      </c>
      <c r="BP45" s="417">
        <f>'Recycling - Case 2'!BW115</f>
        <v>0.69558240826305195</v>
      </c>
      <c r="BQ45" s="1144">
        <f>'Recycling - Case 2'!BX115</f>
        <v>35.120324639162028</v>
      </c>
      <c r="BR45" s="1101">
        <f>'Recycling - Case 2'!BY115</f>
        <v>76.542892924782237</v>
      </c>
      <c r="BS45" s="417">
        <f>'Recycling - Case 2'!BZ115</f>
        <v>0.69558240826305195</v>
      </c>
      <c r="BT45" s="1144">
        <f>'Recycling - Case 2'!CA115</f>
        <v>35.120324639162028</v>
      </c>
      <c r="BU45" s="1102">
        <f>'Recycling - Case 3'!BV115</f>
        <v>76.542892924782237</v>
      </c>
      <c r="BV45" s="417">
        <f>'Recycling - Case 3'!BW115</f>
        <v>0.69558240826305195</v>
      </c>
      <c r="BW45" s="1144">
        <f>'Recycling - Case 3'!BX115</f>
        <v>35.120324639162028</v>
      </c>
      <c r="BX45" s="1101">
        <f>'Recycling - Case 3'!BY115</f>
        <v>76.542892924782237</v>
      </c>
      <c r="BY45" s="417">
        <f>'Recycling - Case 3'!BZ115</f>
        <v>0.69558240826305195</v>
      </c>
      <c r="BZ45" s="1144">
        <f>'Recycling - Case 3'!CA115</f>
        <v>35.120324639162028</v>
      </c>
      <c r="CA45" s="596">
        <v>2035</v>
      </c>
      <c r="CB45" s="649">
        <f>'Recycling - Case 1'!CB115</f>
        <v>0.31069916836058864</v>
      </c>
      <c r="CC45" s="417">
        <f>'Recycling - Case 1'!CC115</f>
        <v>0.3233743987850386</v>
      </c>
      <c r="CD45" s="417">
        <f>'Recycling - Case 1'!CD115</f>
        <v>0.31069916836058864</v>
      </c>
      <c r="CE45" s="525">
        <f>'Recycling - Case 1'!CE115</f>
        <v>0.3233743987850386</v>
      </c>
      <c r="CF45" s="649">
        <f>'Recycling - Case 2'!CB115</f>
        <v>0.3439691156789576</v>
      </c>
      <c r="CG45" s="417">
        <f>'Recycling - Case 2'!CC115</f>
        <v>0.32961379341442587</v>
      </c>
      <c r="CH45" s="417">
        <f>'Recycling - Case 2'!CD115</f>
        <v>0.3439691156789576</v>
      </c>
      <c r="CI45" s="525">
        <f>'Recycling - Case 2'!CE115</f>
        <v>0.32961379341442587</v>
      </c>
      <c r="CJ45" s="649">
        <f>'Recycling - Case 3'!CB115</f>
        <v>0.3439691156789576</v>
      </c>
      <c r="CK45" s="417">
        <f>'Recycling - Case 3'!CC115</f>
        <v>0.32961379341442587</v>
      </c>
      <c r="CL45" s="417">
        <f>'Recycling - Case 3'!CD115</f>
        <v>0.3439691156789576</v>
      </c>
      <c r="CM45" s="525">
        <f>'Recycling - Case 3'!CE115</f>
        <v>0.32961379341442587</v>
      </c>
    </row>
    <row r="46" spans="1:91">
      <c r="A46" s="4">
        <f>'Input data'!A135</f>
        <v>2035</v>
      </c>
      <c r="B46" s="4"/>
      <c r="C46" s="769">
        <f>'4A SWD Case 1'!BG105</f>
        <v>489.75686326642938</v>
      </c>
      <c r="D46" s="3">
        <f>'4B Biological treatment '!T99</f>
        <v>0.7576771707128892</v>
      </c>
      <c r="E46" s="1159">
        <f>'4B Biological treatment '!U99</f>
        <v>34.095472682080015</v>
      </c>
      <c r="F46" s="1159">
        <f>'4B Biological treatment '!W99</f>
        <v>2.0457283609248007</v>
      </c>
      <c r="G46" s="952">
        <f>'4C2 Open-burning '!R106</f>
        <v>16.59507190426114</v>
      </c>
      <c r="H46" s="952">
        <f>'4C2 Open-burning '!Z106</f>
        <v>5.5837336314744892</v>
      </c>
      <c r="I46" s="952">
        <f>'4C2 Open-burning '!AH106</f>
        <v>7.7734996444407151E-2</v>
      </c>
      <c r="J46" s="987">
        <f>'4D Wastewater treatment and dis'!AV143</f>
        <v>192.66977478035747</v>
      </c>
      <c r="K46" s="770">
        <f>'4D Wastewater treatment and dis'!AW143</f>
        <v>3.4699492791899456</v>
      </c>
      <c r="L46" s="771">
        <f t="shared" si="69"/>
        <v>10284.894128595017</v>
      </c>
      <c r="M46" s="772">
        <f t="shared" si="70"/>
        <v>15.911220584970673</v>
      </c>
      <c r="N46" s="771">
        <f t="shared" si="71"/>
        <v>1350.1807182103685</v>
      </c>
      <c r="O46" s="773">
        <f t="shared" si="72"/>
        <v>157.95132706299165</v>
      </c>
      <c r="P46" s="771">
        <f t="shared" si="73"/>
        <v>5121.7495469363903</v>
      </c>
      <c r="Q46" s="519">
        <f t="shared" si="74"/>
        <v>10284.894128595017</v>
      </c>
      <c r="R46" s="521">
        <f t="shared" si="75"/>
        <v>1366.091938795339</v>
      </c>
      <c r="S46" s="518">
        <f t="shared" si="76"/>
        <v>157.95132706299165</v>
      </c>
      <c r="T46" s="519">
        <f t="shared" si="77"/>
        <v>5121.7495469363903</v>
      </c>
      <c r="U46" s="519">
        <f t="shared" si="78"/>
        <v>16930.68694138974</v>
      </c>
      <c r="V46" s="3"/>
      <c r="W46" s="596">
        <f t="shared" si="79"/>
        <v>2036</v>
      </c>
      <c r="X46" s="1101">
        <f t="shared" si="80"/>
        <v>9933.8163368691075</v>
      </c>
      <c r="Y46" s="1102">
        <f t="shared" si="81"/>
        <v>1375.9381938182712</v>
      </c>
      <c r="Z46" s="1102">
        <f t="shared" si="82"/>
        <v>147.84401791223806</v>
      </c>
      <c r="AA46" s="1102">
        <f t="shared" si="83"/>
        <v>5198.0133460110155</v>
      </c>
      <c r="AB46" s="1144">
        <f t="shared" si="22"/>
        <v>16655.611894610629</v>
      </c>
      <c r="AC46" s="1425" t="str">
        <f>IF(OR('Recycling - Case 1'!AC116="No",'Recycling - Case 1'!T156="No"), "No", "Yes")</f>
        <v>Yes</v>
      </c>
      <c r="AD46" s="1101">
        <f t="shared" si="84"/>
        <v>9933.8163368691075</v>
      </c>
      <c r="AE46" s="1102">
        <f t="shared" si="85"/>
        <v>1375.9381938182712</v>
      </c>
      <c r="AF46" s="1102">
        <f t="shared" si="86"/>
        <v>147.84401791223806</v>
      </c>
      <c r="AG46" s="1102">
        <f t="shared" si="87"/>
        <v>5198.0133460110155</v>
      </c>
      <c r="AH46" s="1144">
        <f t="shared" si="60"/>
        <v>16655.611894610629</v>
      </c>
      <c r="AI46" s="1425" t="str">
        <f>IF(OR('Recycling - Case 1'!AI27="No",'Recycling - Case 1'!Z156="No"), "No", "Yes")</f>
        <v>Yes</v>
      </c>
      <c r="AJ46" s="1101">
        <f t="shared" si="88"/>
        <v>8978.6171195275365</v>
      </c>
      <c r="AK46" s="1102">
        <f t="shared" si="89"/>
        <v>1375.9381938182712</v>
      </c>
      <c r="AL46" s="1102">
        <f t="shared" si="90"/>
        <v>97.356643396747316</v>
      </c>
      <c r="AM46" s="1102">
        <f t="shared" si="91"/>
        <v>5740.5744502998004</v>
      </c>
      <c r="AN46" s="1144">
        <f t="shared" si="92"/>
        <v>16192.486407042355</v>
      </c>
      <c r="AO46" s="1418" t="str">
        <f>IF(OR('Recycling - Case 2'!AC116="No",'Recycling - Case 2'!T156="No"), "No", "Yes")</f>
        <v>No</v>
      </c>
      <c r="AP46" s="1101">
        <f t="shared" si="93"/>
        <v>8978.6171195275365</v>
      </c>
      <c r="AQ46" s="1102">
        <f t="shared" si="94"/>
        <v>1375.9381938182712</v>
      </c>
      <c r="AR46" s="1102">
        <f t="shared" si="95"/>
        <v>97.356643396747316</v>
      </c>
      <c r="AS46" s="1102">
        <f t="shared" si="96"/>
        <v>5740.5744502998004</v>
      </c>
      <c r="AT46" s="1144">
        <f t="shared" si="37"/>
        <v>16192.486407042355</v>
      </c>
      <c r="AU46" s="1425" t="str">
        <f>IF(OR('Recycling - Case 2'!AC116="No",'Recycling - Case 2'!T196="No"), "No", "Yes")</f>
        <v>No</v>
      </c>
      <c r="AV46" s="1101">
        <f t="shared" si="63"/>
        <v>8979.588045568702</v>
      </c>
      <c r="AW46" s="1102">
        <f t="shared" si="64"/>
        <v>835.6363406716622</v>
      </c>
      <c r="AX46" s="1102">
        <f t="shared" si="65"/>
        <v>97.35664339674733</v>
      </c>
      <c r="AY46" s="1102">
        <f t="shared" si="66"/>
        <v>5740.5744502998004</v>
      </c>
      <c r="AZ46" s="1144">
        <f t="shared" si="67"/>
        <v>15653.155479936913</v>
      </c>
      <c r="BA46" s="1425" t="str">
        <f>IF(OR('Recycling - Case 3'!AC116="No",'Recycling - Case 3'!T156="No"), "No", "Yes")</f>
        <v>No</v>
      </c>
      <c r="BB46" s="1101">
        <f t="shared" si="97"/>
        <v>8979.588045568702</v>
      </c>
      <c r="BC46" s="1102">
        <f t="shared" si="98"/>
        <v>835.6363406716622</v>
      </c>
      <c r="BD46" s="1102">
        <f t="shared" si="99"/>
        <v>97.35664339674733</v>
      </c>
      <c r="BE46" s="1102">
        <f t="shared" si="100"/>
        <v>5740.5744502998004</v>
      </c>
      <c r="BF46" s="1144">
        <f t="shared" si="47"/>
        <v>15653.155479936913</v>
      </c>
      <c r="BG46" s="1425" t="str">
        <f>IF(OR('Recycling - Case 3'!AC116="No",'Recycling - Case 3'!T196="No"), "No", "Yes")</f>
        <v>No</v>
      </c>
      <c r="BH46" s="596">
        <f t="shared" si="48"/>
        <v>2036</v>
      </c>
      <c r="BI46" s="1102">
        <f>'Recycling - Case 1'!BV116</f>
        <v>76.825237752046746</v>
      </c>
      <c r="BJ46" s="417">
        <f>'Recycling - Case 1'!BW116</f>
        <v>0.58846403021361093</v>
      </c>
      <c r="BK46" s="1144">
        <f>'Recycling - Case 1'!BX116</f>
        <v>32.28539580363168</v>
      </c>
      <c r="BL46" s="1101">
        <f>'Recycling - Case 1'!BY116</f>
        <v>76.825237752046746</v>
      </c>
      <c r="BM46" s="417">
        <f>'Recycling - Case 1'!BZ116</f>
        <v>0.58846403021361093</v>
      </c>
      <c r="BN46" s="1144">
        <f>'Recycling - Case 1'!CA116</f>
        <v>32.28539580363168</v>
      </c>
      <c r="BO46" s="1102">
        <f>'Recycling - Case 2'!BV116</f>
        <v>74.419920435881096</v>
      </c>
      <c r="BP46" s="417">
        <f>'Recycling - Case 2'!BW116</f>
        <v>0.70975451598294426</v>
      </c>
      <c r="BQ46" s="1144">
        <f>'Recycling - Case 2'!BX116</f>
        <v>32.28539580363168</v>
      </c>
      <c r="BR46" s="1101">
        <f>'Recycling - Case 2'!BY116</f>
        <v>74.419920435881096</v>
      </c>
      <c r="BS46" s="417">
        <f>'Recycling - Case 2'!BZ116</f>
        <v>0.70975451598294426</v>
      </c>
      <c r="BT46" s="1144">
        <f>'Recycling - Case 2'!CA116</f>
        <v>32.28539580363168</v>
      </c>
      <c r="BU46" s="1102">
        <f>'Recycling - Case 3'!BV116</f>
        <v>74.419920435881096</v>
      </c>
      <c r="BV46" s="417">
        <f>'Recycling - Case 3'!BW116</f>
        <v>0.70975451598294426</v>
      </c>
      <c r="BW46" s="1144">
        <f>'Recycling - Case 3'!BX116</f>
        <v>32.28539580363168</v>
      </c>
      <c r="BX46" s="1101">
        <f>'Recycling - Case 3'!BY116</f>
        <v>74.419920435881096</v>
      </c>
      <c r="BY46" s="417">
        <f>'Recycling - Case 3'!BZ116</f>
        <v>0.70975451598294426</v>
      </c>
      <c r="BZ46" s="1144">
        <f>'Recycling - Case 3'!CA116</f>
        <v>32.28539580363168</v>
      </c>
      <c r="CA46" s="596">
        <v>2036</v>
      </c>
      <c r="CB46" s="649">
        <f>'Recycling - Case 1'!CB116</f>
        <v>0.32580253654030467</v>
      </c>
      <c r="CC46" s="417">
        <f>'Recycling - Case 1'!CC116</f>
        <v>0.32373367267609632</v>
      </c>
      <c r="CD46" s="417">
        <f>'Recycling - Case 1'!CD116</f>
        <v>0.32580253654030467</v>
      </c>
      <c r="CE46" s="525">
        <f>'Recycling - Case 1'!CE116</f>
        <v>0.32373367267609632</v>
      </c>
      <c r="CF46" s="649">
        <f>'Recycling - Case 2'!CB116</f>
        <v>0.34642146071856406</v>
      </c>
      <c r="CG46" s="417">
        <f>'Recycling - Case 2'!CC116</f>
        <v>0.34507767462713557</v>
      </c>
      <c r="CH46" s="417">
        <f>'Recycling - Case 2'!CD116</f>
        <v>0.34642146071856406</v>
      </c>
      <c r="CI46" s="525">
        <f>'Recycling - Case 2'!CE116</f>
        <v>0.34507767462713557</v>
      </c>
      <c r="CJ46" s="649">
        <f>'Recycling - Case 3'!CB116</f>
        <v>0.34642146071856406</v>
      </c>
      <c r="CK46" s="417">
        <f>'Recycling - Case 3'!CC116</f>
        <v>0.34507767462713557</v>
      </c>
      <c r="CL46" s="417">
        <f>'Recycling - Case 3'!CD116</f>
        <v>0.34642146071856406</v>
      </c>
      <c r="CM46" s="525">
        <f>'Recycling - Case 3'!CE116</f>
        <v>0.34507767462713557</v>
      </c>
    </row>
    <row r="47" spans="1:91">
      <c r="A47" s="4">
        <f>'Input data'!A136</f>
        <v>2036</v>
      </c>
      <c r="B47" s="4"/>
      <c r="C47" s="769">
        <f>'4A SWD Case 1'!BG106</f>
        <v>473.03887318424324</v>
      </c>
      <c r="D47" s="3">
        <f>'4B Biological treatment '!T100</f>
        <v>0.76313821065905252</v>
      </c>
      <c r="E47" s="1159">
        <f>'4B Biological treatment '!U100</f>
        <v>34.341219479657354</v>
      </c>
      <c r="F47" s="1159">
        <f>'4B Biological treatment '!W100</f>
        <v>2.0604731687794411</v>
      </c>
      <c r="G47" s="952">
        <f>'4C2 Open-burning '!R107</f>
        <v>15.53315286100764</v>
      </c>
      <c r="H47" s="952">
        <f>'4C2 Open-burning '!Z107</f>
        <v>5.22643038446685</v>
      </c>
      <c r="I47" s="952">
        <f>'4C2 Open-burning '!AH107</f>
        <v>7.2760732185247007E-2</v>
      </c>
      <c r="J47" s="987">
        <f>'4D Wastewater treatment and dis'!AV144</f>
        <v>195.92624915733671</v>
      </c>
      <c r="K47" s="770">
        <f>'4D Wastewater treatment and dis'!AW144</f>
        <v>3.4953616571191763</v>
      </c>
      <c r="L47" s="771">
        <f t="shared" si="69"/>
        <v>9933.8163368691075</v>
      </c>
      <c r="M47" s="772">
        <f t="shared" si="70"/>
        <v>16.025902423840101</v>
      </c>
      <c r="N47" s="771">
        <f t="shared" si="71"/>
        <v>1359.9122913944311</v>
      </c>
      <c r="O47" s="773">
        <f t="shared" si="72"/>
        <v>147.84401791223806</v>
      </c>
      <c r="P47" s="771">
        <f t="shared" si="73"/>
        <v>5198.0133460110155</v>
      </c>
      <c r="Q47" s="519">
        <f t="shared" si="74"/>
        <v>9933.8163368691075</v>
      </c>
      <c r="R47" s="521">
        <f t="shared" si="75"/>
        <v>1375.9381938182712</v>
      </c>
      <c r="S47" s="518">
        <f t="shared" si="76"/>
        <v>147.84401791223806</v>
      </c>
      <c r="T47" s="519">
        <f t="shared" si="77"/>
        <v>5198.0133460110155</v>
      </c>
      <c r="U47" s="519">
        <f t="shared" si="78"/>
        <v>16655.611894610629</v>
      </c>
      <c r="V47" s="3"/>
      <c r="W47" s="596">
        <f t="shared" si="79"/>
        <v>2037</v>
      </c>
      <c r="X47" s="1101">
        <f t="shared" si="80"/>
        <v>9598.462414128493</v>
      </c>
      <c r="Y47" s="1102">
        <f t="shared" si="81"/>
        <v>1386.2035884367851</v>
      </c>
      <c r="Z47" s="1102">
        <f t="shared" si="82"/>
        <v>144.25687519270741</v>
      </c>
      <c r="AA47" s="1102">
        <f t="shared" si="83"/>
        <v>5275.0672825961447</v>
      </c>
      <c r="AB47" s="1144">
        <f t="shared" si="22"/>
        <v>16403.990160354129</v>
      </c>
      <c r="AC47" s="1425" t="str">
        <f>IF(OR('Recycling - Case 1'!AC117="No",'Recycling - Case 1'!T157="No"), "No", "Yes")</f>
        <v>Yes</v>
      </c>
      <c r="AD47" s="1101">
        <f t="shared" si="84"/>
        <v>9598.462414128493</v>
      </c>
      <c r="AE47" s="1102">
        <f t="shared" si="85"/>
        <v>1386.2035884367851</v>
      </c>
      <c r="AF47" s="1102">
        <f t="shared" si="86"/>
        <v>144.25687519270741</v>
      </c>
      <c r="AG47" s="1102">
        <f t="shared" si="87"/>
        <v>5275.0672825961447</v>
      </c>
      <c r="AH47" s="1144">
        <f t="shared" si="60"/>
        <v>16403.990160354129</v>
      </c>
      <c r="AI47" s="1425" t="str">
        <f>IF(OR('Recycling - Case 1'!AI28="No",'Recycling - Case 1'!Z157="No"), "No", "Yes")</f>
        <v>Yes</v>
      </c>
      <c r="AJ47" s="1101">
        <f t="shared" si="88"/>
        <v>8637.4457617299122</v>
      </c>
      <c r="AK47" s="1102">
        <f t="shared" si="89"/>
        <v>1386.2035884367851</v>
      </c>
      <c r="AL47" s="1102">
        <f t="shared" si="90"/>
        <v>97.11957745586389</v>
      </c>
      <c r="AM47" s="1102">
        <f t="shared" si="91"/>
        <v>5782.5586582293754</v>
      </c>
      <c r="AN47" s="1144">
        <f t="shared" si="92"/>
        <v>15903.327585851937</v>
      </c>
      <c r="AO47" s="1418" t="str">
        <f>IF(OR('Recycling - Case 2'!AC117="No",'Recycling - Case 2'!T157="No"), "No", "Yes")</f>
        <v>No</v>
      </c>
      <c r="AP47" s="1101">
        <f t="shared" si="93"/>
        <v>8637.4457617299122</v>
      </c>
      <c r="AQ47" s="1102">
        <f t="shared" si="94"/>
        <v>1386.2035884367851</v>
      </c>
      <c r="AR47" s="1102">
        <f t="shared" si="95"/>
        <v>97.11957745586389</v>
      </c>
      <c r="AS47" s="1102">
        <f t="shared" si="96"/>
        <v>5782.5586582293754</v>
      </c>
      <c r="AT47" s="1144">
        <f t="shared" si="37"/>
        <v>15903.327585851937</v>
      </c>
      <c r="AU47" s="1425" t="str">
        <f>IF(OR('Recycling - Case 2'!AC117="No",'Recycling - Case 2'!T197="No"), "No", "Yes")</f>
        <v>No</v>
      </c>
      <c r="AV47" s="1101">
        <f t="shared" si="63"/>
        <v>8638.479074310304</v>
      </c>
      <c r="AW47" s="1102">
        <f t="shared" si="64"/>
        <v>841.87073174613408</v>
      </c>
      <c r="AX47" s="1102">
        <f t="shared" si="65"/>
        <v>97.119577455863862</v>
      </c>
      <c r="AY47" s="1102">
        <f t="shared" si="66"/>
        <v>5782.5586582293754</v>
      </c>
      <c r="AZ47" s="1144">
        <f t="shared" si="67"/>
        <v>15360.028041741676</v>
      </c>
      <c r="BA47" s="1425" t="str">
        <f>IF(OR('Recycling - Case 3'!AC117="No",'Recycling - Case 3'!T157="No"), "No", "Yes")</f>
        <v>No</v>
      </c>
      <c r="BB47" s="1101">
        <f t="shared" si="97"/>
        <v>8638.479074310304</v>
      </c>
      <c r="BC47" s="1102">
        <f t="shared" si="98"/>
        <v>841.87073174613408</v>
      </c>
      <c r="BD47" s="1102">
        <f t="shared" si="99"/>
        <v>97.119577455863862</v>
      </c>
      <c r="BE47" s="1102">
        <f t="shared" si="100"/>
        <v>5782.5586582293754</v>
      </c>
      <c r="BF47" s="1144">
        <f t="shared" si="47"/>
        <v>15360.028041741676</v>
      </c>
      <c r="BG47" s="1425" t="str">
        <f>IF(OR('Recycling - Case 3'!AC117="No",'Recycling - Case 3'!T197="No"), "No", "Yes")</f>
        <v>No</v>
      </c>
      <c r="BH47" s="596">
        <f t="shared" si="48"/>
        <v>2037</v>
      </c>
      <c r="BI47" s="1102">
        <f>'Recycling - Case 1'!BV117</f>
        <v>75.899155202786105</v>
      </c>
      <c r="BJ47" s="417">
        <f>'Recycling - Case 1'!BW117</f>
        <v>0.59736581721688509</v>
      </c>
      <c r="BK47" s="1144">
        <f>'Recycling - Case 1'!BX117</f>
        <v>29.450466968101324</v>
      </c>
      <c r="BL47" s="1101">
        <f>'Recycling - Case 1'!BY117</f>
        <v>75.899155202786105</v>
      </c>
      <c r="BM47" s="417">
        <f>'Recycling - Case 1'!BZ117</f>
        <v>0.59736581721688509</v>
      </c>
      <c r="BN47" s="1144">
        <f>'Recycling - Case 1'!CA117</f>
        <v>29.450466968101324</v>
      </c>
      <c r="BO47" s="1102">
        <f>'Recycling - Case 2'!BV117</f>
        <v>72.324801645764069</v>
      </c>
      <c r="BP47" s="417">
        <f>'Recycling - Case 2'!BW117</f>
        <v>0.72486494157885706</v>
      </c>
      <c r="BQ47" s="1144">
        <f>'Recycling - Case 2'!BX117</f>
        <v>29.450466968101324</v>
      </c>
      <c r="BR47" s="1101">
        <f>'Recycling - Case 2'!BY117</f>
        <v>72.324801645764069</v>
      </c>
      <c r="BS47" s="417">
        <f>'Recycling - Case 2'!BZ117</f>
        <v>0.72486494157885706</v>
      </c>
      <c r="BT47" s="1144">
        <f>'Recycling - Case 2'!CA117</f>
        <v>29.450466968101324</v>
      </c>
      <c r="BU47" s="1102">
        <f>'Recycling - Case 3'!BV117</f>
        <v>72.324801645764083</v>
      </c>
      <c r="BV47" s="417">
        <f>'Recycling - Case 3'!BW117</f>
        <v>0.72486494157885706</v>
      </c>
      <c r="BW47" s="1144">
        <f>'Recycling - Case 3'!BX117</f>
        <v>29.450466968101324</v>
      </c>
      <c r="BX47" s="1101">
        <f>'Recycling - Case 3'!BY117</f>
        <v>72.324801645764083</v>
      </c>
      <c r="BY47" s="417">
        <f>'Recycling - Case 3'!BZ117</f>
        <v>0.72486494157885706</v>
      </c>
      <c r="BZ47" s="1144">
        <f>'Recycling - Case 3'!CA117</f>
        <v>29.450466968101324</v>
      </c>
      <c r="CA47" s="596">
        <v>2037</v>
      </c>
      <c r="CB47" s="649">
        <f>'Recycling - Case 1'!CB117</f>
        <v>0.33279972765117138</v>
      </c>
      <c r="CC47" s="417">
        <f>'Recycling - Case 1'!CC117</f>
        <v>0.32387443373420788</v>
      </c>
      <c r="CD47" s="417">
        <f>'Recycling - Case 1'!CD117</f>
        <v>0.33279972765117138</v>
      </c>
      <c r="CE47" s="525">
        <f>'Recycling - Case 1'!CE117</f>
        <v>0.32387443373420788</v>
      </c>
      <c r="CF47" s="649">
        <f>'Recycling - Case 2'!CB117</f>
        <v>0.34885125932123828</v>
      </c>
      <c r="CG47" s="417">
        <f>'Recycling - Case 2'!CC117</f>
        <v>0.36120009506420703</v>
      </c>
      <c r="CH47" s="417">
        <f>'Recycling - Case 2'!CD117</f>
        <v>0.34885125932123828</v>
      </c>
      <c r="CI47" s="525">
        <f>'Recycling - Case 2'!CE117</f>
        <v>0.36120009506420703</v>
      </c>
      <c r="CJ47" s="649">
        <f>'Recycling - Case 3'!CB117</f>
        <v>0.34885125932123817</v>
      </c>
      <c r="CK47" s="417">
        <f>'Recycling - Case 3'!CC117</f>
        <v>0.36120009506420703</v>
      </c>
      <c r="CL47" s="417">
        <f>'Recycling - Case 3'!CD117</f>
        <v>0.34885125932123817</v>
      </c>
      <c r="CM47" s="525">
        <f>'Recycling - Case 3'!CE117</f>
        <v>0.36120009506420703</v>
      </c>
    </row>
    <row r="48" spans="1:91">
      <c r="A48" s="4">
        <f>'Input data'!A137</f>
        <v>2037</v>
      </c>
      <c r="B48" s="4"/>
      <c r="C48" s="769">
        <f>'4A SWD Case 1'!BG107</f>
        <v>457.06963876802348</v>
      </c>
      <c r="D48" s="3">
        <f>'4B Biological treatment '!T101</f>
        <v>0.76883171848962029</v>
      </c>
      <c r="E48" s="1159">
        <f>'4B Biological treatment '!U101</f>
        <v>34.597427332032908</v>
      </c>
      <c r="F48" s="1159">
        <f>'4B Biological treatment '!W101</f>
        <v>2.0758456399219742</v>
      </c>
      <c r="G48" s="952">
        <f>'4C2 Open-burning '!R108</f>
        <v>15.156271625070209</v>
      </c>
      <c r="H48" s="952">
        <f>'4C2 Open-burning '!Z108</f>
        <v>5.0996213869333609</v>
      </c>
      <c r="I48" s="952">
        <f>'4C2 Open-burning '!AH108</f>
        <v>7.0995336909795537E-2</v>
      </c>
      <c r="J48" s="987">
        <f>'4D Wastewater treatment and dis'!AV145</f>
        <v>199.21811618301393</v>
      </c>
      <c r="K48" s="770">
        <f>'4D Wastewater treatment and dis'!AW145</f>
        <v>3.5209252992027475</v>
      </c>
      <c r="L48" s="771">
        <f t="shared" si="69"/>
        <v>9598.462414128493</v>
      </c>
      <c r="M48" s="772">
        <f t="shared" si="70"/>
        <v>16.145466088282028</v>
      </c>
      <c r="N48" s="771">
        <f t="shared" si="71"/>
        <v>1370.058122348503</v>
      </c>
      <c r="O48" s="773">
        <f t="shared" si="72"/>
        <v>144.25687519270741</v>
      </c>
      <c r="P48" s="771">
        <f t="shared" si="73"/>
        <v>5275.0672825961447</v>
      </c>
      <c r="Q48" s="519">
        <f t="shared" si="74"/>
        <v>9598.462414128493</v>
      </c>
      <c r="R48" s="521">
        <f t="shared" si="75"/>
        <v>1386.2035884367851</v>
      </c>
      <c r="S48" s="518">
        <f t="shared" si="76"/>
        <v>144.25687519270741</v>
      </c>
      <c r="T48" s="519">
        <f t="shared" si="77"/>
        <v>5275.0672825961447</v>
      </c>
      <c r="U48" s="519">
        <f t="shared" si="78"/>
        <v>16403.990160354129</v>
      </c>
      <c r="V48" s="3"/>
      <c r="W48" s="596">
        <f t="shared" si="79"/>
        <v>2038</v>
      </c>
      <c r="X48" s="1101">
        <f t="shared" si="80"/>
        <v>9283.9385112472373</v>
      </c>
      <c r="Y48" s="1102">
        <f t="shared" si="81"/>
        <v>1396.6256707545817</v>
      </c>
      <c r="Z48" s="1102">
        <f t="shared" si="82"/>
        <v>137.79101096898893</v>
      </c>
      <c r="AA48" s="1102">
        <f t="shared" si="83"/>
        <v>5353.0685892615111</v>
      </c>
      <c r="AB48" s="1144">
        <f t="shared" si="22"/>
        <v>16171.423782232319</v>
      </c>
      <c r="AC48" s="1425" t="str">
        <f>IF(OR('Recycling - Case 1'!AC118="No",'Recycling - Case 1'!T158="No"), "No", "Yes")</f>
        <v>Yes</v>
      </c>
      <c r="AD48" s="1101">
        <f t="shared" si="84"/>
        <v>9283.9385112472373</v>
      </c>
      <c r="AE48" s="1102">
        <f t="shared" si="85"/>
        <v>1396.6256707545817</v>
      </c>
      <c r="AF48" s="1102">
        <f t="shared" si="86"/>
        <v>137.79101096898893</v>
      </c>
      <c r="AG48" s="1102">
        <f t="shared" si="87"/>
        <v>5353.0685892615111</v>
      </c>
      <c r="AH48" s="1144">
        <f t="shared" si="60"/>
        <v>16171.423782232319</v>
      </c>
      <c r="AI48" s="1425" t="str">
        <f>IF(OR('Recycling - Case 1'!AI29="No",'Recycling - Case 1'!Z158="No"), "No", "Yes")</f>
        <v>Yes</v>
      </c>
      <c r="AJ48" s="1101">
        <f t="shared" si="88"/>
        <v>8313.117358942769</v>
      </c>
      <c r="AK48" s="1102">
        <f t="shared" si="89"/>
        <v>1396.6256707545817</v>
      </c>
      <c r="AL48" s="1102">
        <f t="shared" si="90"/>
        <v>96.884785188148896</v>
      </c>
      <c r="AM48" s="1102">
        <f t="shared" si="91"/>
        <v>5824.9569116020448</v>
      </c>
      <c r="AN48" s="1144">
        <f t="shared" si="92"/>
        <v>15631.584726487545</v>
      </c>
      <c r="AO48" s="1418" t="str">
        <f>IF(OR('Recycling - Case 2'!AC118="No",'Recycling - Case 2'!T158="No"), "No", "Yes")</f>
        <v>No</v>
      </c>
      <c r="AP48" s="1101">
        <f t="shared" si="93"/>
        <v>8313.117358942769</v>
      </c>
      <c r="AQ48" s="1102">
        <f t="shared" si="94"/>
        <v>1396.6256707545817</v>
      </c>
      <c r="AR48" s="1102">
        <f t="shared" si="95"/>
        <v>96.884785188148896</v>
      </c>
      <c r="AS48" s="1102">
        <f t="shared" si="96"/>
        <v>5824.9569116020448</v>
      </c>
      <c r="AT48" s="1144">
        <f t="shared" si="37"/>
        <v>15631.584726487545</v>
      </c>
      <c r="AU48" s="1425" t="str">
        <f>IF(OR('Recycling - Case 2'!AC118="No",'Recycling - Case 2'!T198="No"), "No", "Yes")</f>
        <v>No</v>
      </c>
      <c r="AV48" s="1101">
        <f t="shared" si="63"/>
        <v>8314.2102947501699</v>
      </c>
      <c r="AW48" s="1102">
        <f t="shared" si="64"/>
        <v>848.20028257141803</v>
      </c>
      <c r="AX48" s="1102">
        <f t="shared" si="65"/>
        <v>96.884785188148896</v>
      </c>
      <c r="AY48" s="1102">
        <f t="shared" si="66"/>
        <v>5824.9569116020448</v>
      </c>
      <c r="AZ48" s="1144">
        <f t="shared" si="67"/>
        <v>15084.252274111783</v>
      </c>
      <c r="BA48" s="1425" t="str">
        <f>IF(OR('Recycling - Case 3'!AC118="No",'Recycling - Case 3'!T158="No"), "No", "Yes")</f>
        <v>No</v>
      </c>
      <c r="BB48" s="1101">
        <f t="shared" si="97"/>
        <v>8314.2102947501699</v>
      </c>
      <c r="BC48" s="1102">
        <f t="shared" si="98"/>
        <v>848.20028257141803</v>
      </c>
      <c r="BD48" s="1102">
        <f t="shared" si="99"/>
        <v>96.884785188148896</v>
      </c>
      <c r="BE48" s="1102">
        <f t="shared" si="100"/>
        <v>5824.9569116020448</v>
      </c>
      <c r="BF48" s="1144">
        <f t="shared" si="47"/>
        <v>15084.252274111783</v>
      </c>
      <c r="BG48" s="1425" t="str">
        <f>IF(OR('Recycling - Case 3'!AC118="No",'Recycling - Case 3'!T198="No"), "No", "Yes")</f>
        <v>No</v>
      </c>
      <c r="BH48" s="596">
        <f t="shared" si="48"/>
        <v>2038</v>
      </c>
      <c r="BI48" s="1102">
        <f>'Recycling - Case 1'!BV118</f>
        <v>74.913290833715919</v>
      </c>
      <c r="BJ48" s="417">
        <f>'Recycling - Case 1'!BW118</f>
        <v>0.60676770553391246</v>
      </c>
      <c r="BK48" s="1144">
        <f>'Recycling - Case 1'!BX118</f>
        <v>26.615538132570968</v>
      </c>
      <c r="BL48" s="1101">
        <f>'Recycling - Case 1'!BY118</f>
        <v>74.913290833715919</v>
      </c>
      <c r="BM48" s="417">
        <f>'Recycling - Case 1'!BZ118</f>
        <v>0.60676770553391246</v>
      </c>
      <c r="BN48" s="1144">
        <f>'Recycling - Case 1'!CA118</f>
        <v>26.615538132570968</v>
      </c>
      <c r="BO48" s="1102">
        <f>'Recycling - Case 2'!BV118</f>
        <v>70.24064632225587</v>
      </c>
      <c r="BP48" s="417">
        <f>'Recycling - Case 2'!BW118</f>
        <v>0.74091737223920506</v>
      </c>
      <c r="BQ48" s="1144">
        <f>'Recycling - Case 2'!BX118</f>
        <v>26.615538132570968</v>
      </c>
      <c r="BR48" s="1101">
        <f>'Recycling - Case 2'!BY118</f>
        <v>70.24064632225587</v>
      </c>
      <c r="BS48" s="417">
        <f>'Recycling - Case 2'!BZ118</f>
        <v>0.74091737223920506</v>
      </c>
      <c r="BT48" s="1144">
        <f>'Recycling - Case 2'!CA118</f>
        <v>26.615538132570968</v>
      </c>
      <c r="BU48" s="1102">
        <f>'Recycling - Case 3'!BV118</f>
        <v>70.24064632225587</v>
      </c>
      <c r="BV48" s="417">
        <f>'Recycling - Case 3'!BW118</f>
        <v>0.74091737223920506</v>
      </c>
      <c r="BW48" s="1144">
        <f>'Recycling - Case 3'!BX118</f>
        <v>26.615538132570968</v>
      </c>
      <c r="BX48" s="1101">
        <f>'Recycling - Case 3'!BY118</f>
        <v>70.24064632225587</v>
      </c>
      <c r="BY48" s="417">
        <f>'Recycling - Case 3'!BZ118</f>
        <v>0.74091737223920506</v>
      </c>
      <c r="BZ48" s="1144">
        <f>'Recycling - Case 3'!CA118</f>
        <v>26.615538132570968</v>
      </c>
      <c r="CA48" s="596">
        <v>2038</v>
      </c>
      <c r="CB48" s="649">
        <f>'Recycling - Case 1'!CB118</f>
        <v>0.34322600033669237</v>
      </c>
      <c r="CC48" s="417">
        <f>'Recycling - Case 1'!CC118</f>
        <v>0.32367822267306567</v>
      </c>
      <c r="CD48" s="417">
        <f>'Recycling - Case 1'!CD118</f>
        <v>0.34322600033669237</v>
      </c>
      <c r="CE48" s="525">
        <f>'Recycling - Case 1'!CE118</f>
        <v>0.32367822267306567</v>
      </c>
      <c r="CF48" s="649">
        <f>'Recycling - Case 2'!CB118</f>
        <v>0.35126807367285373</v>
      </c>
      <c r="CG48" s="417">
        <f>'Recycling - Case 2'!CC118</f>
        <v>0.37787705294076901</v>
      </c>
      <c r="CH48" s="417">
        <f>'Recycling - Case 2'!CD118</f>
        <v>0.35126807367285373</v>
      </c>
      <c r="CI48" s="525">
        <f>'Recycling - Case 2'!CE118</f>
        <v>0.37787705294076901</v>
      </c>
      <c r="CJ48" s="649">
        <f>'Recycling - Case 3'!CB118</f>
        <v>0.35126807367285373</v>
      </c>
      <c r="CK48" s="417">
        <f>'Recycling - Case 3'!CC118</f>
        <v>0.37787705294076901</v>
      </c>
      <c r="CL48" s="417">
        <f>'Recycling - Case 3'!CD118</f>
        <v>0.35126807367285373</v>
      </c>
      <c r="CM48" s="525">
        <f>'Recycling - Case 3'!CE118</f>
        <v>0.37787705294076901</v>
      </c>
    </row>
    <row r="49" spans="1:91">
      <c r="A49" s="4">
        <f>'Input data'!A138</f>
        <v>2038</v>
      </c>
      <c r="B49" s="4"/>
      <c r="C49" s="769">
        <f>'4A SWD Case 1'!BG108</f>
        <v>442.09231005939222</v>
      </c>
      <c r="D49" s="3">
        <f>'4B Biological treatment '!T102</f>
        <v>0.77461213020220843</v>
      </c>
      <c r="E49" s="1159">
        <f>'4B Biological treatment '!U102</f>
        <v>34.857545859099375</v>
      </c>
      <c r="F49" s="1159">
        <f>'4B Biological treatment '!W102</f>
        <v>2.0914527515459622</v>
      </c>
      <c r="G49" s="952">
        <f>'4C2 Open-burning '!R109</f>
        <v>14.476939050213112</v>
      </c>
      <c r="H49" s="952">
        <f>'4C2 Open-burning '!Z109</f>
        <v>4.8710467735138341</v>
      </c>
      <c r="I49" s="952">
        <f>'4C2 Open-burning '!AH109</f>
        <v>6.7813192499952588E-2</v>
      </c>
      <c r="J49" s="987">
        <f>'4D Wastewater treatment and dis'!AV146</f>
        <v>202.55137449125439</v>
      </c>
      <c r="K49" s="770">
        <f>'4D Wastewater treatment and dis'!AW146</f>
        <v>3.5467410482102202</v>
      </c>
      <c r="L49" s="771">
        <f t="shared" si="69"/>
        <v>9283.9385112472373</v>
      </c>
      <c r="M49" s="772">
        <f t="shared" si="70"/>
        <v>16.266854734246376</v>
      </c>
      <c r="N49" s="771">
        <f t="shared" si="71"/>
        <v>1380.3588160203353</v>
      </c>
      <c r="O49" s="773">
        <f t="shared" si="72"/>
        <v>137.79101096898893</v>
      </c>
      <c r="P49" s="771">
        <f t="shared" si="73"/>
        <v>5353.0685892615111</v>
      </c>
      <c r="Q49" s="519">
        <f t="shared" si="74"/>
        <v>9283.9385112472373</v>
      </c>
      <c r="R49" s="521">
        <f t="shared" si="75"/>
        <v>1396.6256707545817</v>
      </c>
      <c r="S49" s="518">
        <f t="shared" si="76"/>
        <v>137.79101096898893</v>
      </c>
      <c r="T49" s="519">
        <f t="shared" si="77"/>
        <v>5353.0685892615111</v>
      </c>
      <c r="U49" s="519">
        <f t="shared" si="78"/>
        <v>16171.423782232319</v>
      </c>
      <c r="V49" s="3"/>
      <c r="W49" s="596">
        <f t="shared" si="79"/>
        <v>2039</v>
      </c>
      <c r="X49" s="1101">
        <f t="shared" si="80"/>
        <v>8986.9391747351056</v>
      </c>
      <c r="Y49" s="1102">
        <f t="shared" si="81"/>
        <v>1407.4762939299167</v>
      </c>
      <c r="Z49" s="1102">
        <f t="shared" si="82"/>
        <v>131.35398369475783</v>
      </c>
      <c r="AA49" s="1102">
        <f t="shared" si="83"/>
        <v>5431.872332328383</v>
      </c>
      <c r="AB49" s="1144">
        <f t="shared" si="22"/>
        <v>15957.641784688163</v>
      </c>
      <c r="AC49" s="1425" t="str">
        <f>IF(OR('Recycling - Case 1'!AC119="No",'Recycling - Case 1'!T159="No"), "No", "Yes")</f>
        <v>Yes</v>
      </c>
      <c r="AD49" s="1101">
        <f t="shared" si="84"/>
        <v>8986.9391747351056</v>
      </c>
      <c r="AE49" s="1102">
        <f t="shared" si="85"/>
        <v>1407.4762939299167</v>
      </c>
      <c r="AF49" s="1102">
        <f t="shared" si="86"/>
        <v>131.35398369475783</v>
      </c>
      <c r="AG49" s="1102">
        <f t="shared" si="87"/>
        <v>5431.872332328383</v>
      </c>
      <c r="AH49" s="1144">
        <f t="shared" si="60"/>
        <v>15957.641784688163</v>
      </c>
      <c r="AI49" s="1425" t="str">
        <f>IF(OR('Recycling - Case 1'!AI30="No",'Recycling - Case 1'!Z159="No"), "No", "Yes")</f>
        <v>Yes</v>
      </c>
      <c r="AJ49" s="1101">
        <f t="shared" si="88"/>
        <v>8004.8116515364236</v>
      </c>
      <c r="AK49" s="1102">
        <f t="shared" si="89"/>
        <v>1407.4762939299167</v>
      </c>
      <c r="AL49" s="1102">
        <f t="shared" si="90"/>
        <v>96.65315796334211</v>
      </c>
      <c r="AM49" s="1102">
        <f t="shared" si="91"/>
        <v>5867.6035922405699</v>
      </c>
      <c r="AN49" s="1144">
        <f t="shared" si="92"/>
        <v>15376.544695670253</v>
      </c>
      <c r="AO49" s="1418" t="str">
        <f>IF(OR('Recycling - Case 2'!AC119="No",'Recycling - Case 2'!T159="No"), "No", "Yes")</f>
        <v>No</v>
      </c>
      <c r="AP49" s="1101">
        <f t="shared" si="93"/>
        <v>8004.8116515364236</v>
      </c>
      <c r="AQ49" s="1102">
        <f t="shared" si="94"/>
        <v>1407.4762939299167</v>
      </c>
      <c r="AR49" s="1102">
        <f t="shared" si="95"/>
        <v>96.65315796334211</v>
      </c>
      <c r="AS49" s="1102">
        <f t="shared" si="96"/>
        <v>5867.6035922405699</v>
      </c>
      <c r="AT49" s="1144">
        <f t="shared" si="37"/>
        <v>15376.544695670253</v>
      </c>
      <c r="AU49" s="1425" t="str">
        <f>IF(OR('Recycling - Case 2'!AC119="No",'Recycling - Case 2'!T199="No"), "No", "Yes")</f>
        <v>No</v>
      </c>
      <c r="AV49" s="1101">
        <f t="shared" si="63"/>
        <v>8005.9616167592776</v>
      </c>
      <c r="AW49" s="1102">
        <f t="shared" si="64"/>
        <v>854.79009531517409</v>
      </c>
      <c r="AX49" s="1102">
        <f t="shared" si="65"/>
        <v>96.653157963342096</v>
      </c>
      <c r="AY49" s="1102">
        <f t="shared" si="66"/>
        <v>5867.6035922405699</v>
      </c>
      <c r="AZ49" s="1144">
        <f t="shared" si="67"/>
        <v>14825.008462278365</v>
      </c>
      <c r="BA49" s="1425" t="str">
        <f>IF(OR('Recycling - Case 3'!AC119="No",'Recycling - Case 3'!T159="No"), "No", "Yes")</f>
        <v>No</v>
      </c>
      <c r="BB49" s="1101">
        <f t="shared" si="97"/>
        <v>8005.9616167592776</v>
      </c>
      <c r="BC49" s="1102">
        <f t="shared" si="98"/>
        <v>854.79009531517409</v>
      </c>
      <c r="BD49" s="1102">
        <f t="shared" si="99"/>
        <v>96.653157963342096</v>
      </c>
      <c r="BE49" s="1102">
        <f t="shared" si="100"/>
        <v>5867.6035922405699</v>
      </c>
      <c r="BF49" s="1144">
        <f t="shared" si="47"/>
        <v>14825.008462278365</v>
      </c>
      <c r="BG49" s="1425" t="str">
        <f>IF(OR('Recycling - Case 3'!AC119="No",'Recycling - Case 3'!T199="No"), "No", "Yes")</f>
        <v>No</v>
      </c>
      <c r="BH49" s="596">
        <f t="shared" si="48"/>
        <v>2039</v>
      </c>
      <c r="BI49" s="1102">
        <f>'Recycling - Case 1'!BV119</f>
        <v>73.988787336966865</v>
      </c>
      <c r="BJ49" s="417">
        <f>'Recycling - Case 1'!BW119</f>
        <v>0.61629609956486708</v>
      </c>
      <c r="BK49" s="1144">
        <f>'Recycling - Case 1'!BX119</f>
        <v>23.780609297040609</v>
      </c>
      <c r="BL49" s="1101">
        <f>'Recycling - Case 1'!BY119</f>
        <v>73.988787336966865</v>
      </c>
      <c r="BM49" s="417">
        <f>'Recycling - Case 1'!BZ119</f>
        <v>0.61629609956486708</v>
      </c>
      <c r="BN49" s="1144">
        <f>'Recycling - Case 1'!CA119</f>
        <v>23.780609297040609</v>
      </c>
      <c r="BO49" s="1102">
        <f>'Recycling - Case 2'!BV119</f>
        <v>68.184958774848027</v>
      </c>
      <c r="BP49" s="417">
        <f>'Recycling - Case 2'!BW119</f>
        <v>0.75805259371141709</v>
      </c>
      <c r="BQ49" s="1144">
        <f>'Recycling - Case 2'!BX119</f>
        <v>23.780609297040609</v>
      </c>
      <c r="BR49" s="1101">
        <f>'Recycling - Case 2'!BY119</f>
        <v>68.184958774848027</v>
      </c>
      <c r="BS49" s="417">
        <f>'Recycling - Case 2'!BZ119</f>
        <v>0.75805259371141709</v>
      </c>
      <c r="BT49" s="1144">
        <f>'Recycling - Case 2'!CA119</f>
        <v>23.780609297040609</v>
      </c>
      <c r="BU49" s="1102">
        <f>'Recycling - Case 3'!BV119</f>
        <v>68.184958774848027</v>
      </c>
      <c r="BV49" s="417">
        <f>'Recycling - Case 3'!BW119</f>
        <v>0.75805259371141709</v>
      </c>
      <c r="BW49" s="1144">
        <f>'Recycling - Case 3'!BX119</f>
        <v>23.780609297040609</v>
      </c>
      <c r="BX49" s="1101">
        <f>'Recycling - Case 3'!BY119</f>
        <v>68.184958774848027</v>
      </c>
      <c r="BY49" s="417">
        <f>'Recycling - Case 3'!BZ119</f>
        <v>0.75805259371141709</v>
      </c>
      <c r="BZ49" s="1144">
        <f>'Recycling - Case 3'!CA119</f>
        <v>23.780609297040609</v>
      </c>
      <c r="CA49" s="596">
        <v>2039</v>
      </c>
      <c r="CB49" s="649">
        <f>'Recycling - Case 1'!CB119</f>
        <v>0.35350866119562807</v>
      </c>
      <c r="CC49" s="417">
        <f>'Recycling - Case 1'!CC119</f>
        <v>0.32327414213878525</v>
      </c>
      <c r="CD49" s="417">
        <f>'Recycling - Case 1'!CD119</f>
        <v>0.35350866119562807</v>
      </c>
      <c r="CE49" s="525">
        <f>'Recycling - Case 1'!CE119</f>
        <v>0.32327414213878525</v>
      </c>
      <c r="CF49" s="649">
        <f>'Recycling - Case 2'!CB119</f>
        <v>0.35366244539167624</v>
      </c>
      <c r="CG49" s="417">
        <f>'Recycling - Case 2'!CC119</f>
        <v>0.39521158860047567</v>
      </c>
      <c r="CH49" s="417">
        <f>'Recycling - Case 2'!CD119</f>
        <v>0.35366244539167624</v>
      </c>
      <c r="CI49" s="525">
        <f>'Recycling - Case 2'!CE119</f>
        <v>0.39521158860047567</v>
      </c>
      <c r="CJ49" s="649">
        <f>'Recycling - Case 3'!CB119</f>
        <v>0.35366244539167624</v>
      </c>
      <c r="CK49" s="417">
        <f>'Recycling - Case 3'!CC119</f>
        <v>0.39521158860047567</v>
      </c>
      <c r="CL49" s="417">
        <f>'Recycling - Case 3'!CD119</f>
        <v>0.35366244539167624</v>
      </c>
      <c r="CM49" s="525">
        <f>'Recycling - Case 3'!CE119</f>
        <v>0.39521158860047567</v>
      </c>
    </row>
    <row r="50" spans="1:91">
      <c r="A50" s="4">
        <f>'Input data'!A139</f>
        <v>2039</v>
      </c>
      <c r="B50" s="4"/>
      <c r="C50" s="769">
        <f>'4A SWD Case 1'!BG109</f>
        <v>427.94948451119546</v>
      </c>
      <c r="D50" s="3">
        <f>'4B Biological treatment '!T103</f>
        <v>0.78063022403212257</v>
      </c>
      <c r="E50" s="1159">
        <f>'4B Biological treatment '!U103</f>
        <v>35.128360081445507</v>
      </c>
      <c r="F50" s="1159">
        <f>'4B Biological treatment '!W103</f>
        <v>2.1077016048867305</v>
      </c>
      <c r="G50" s="952">
        <f>'4C2 Open-burning '!R110</f>
        <v>13.800636214068192</v>
      </c>
      <c r="H50" s="952">
        <f>'4C2 Open-burning '!Z110</f>
        <v>4.6434915744143757</v>
      </c>
      <c r="I50" s="952">
        <f>'4C2 Open-burning '!AH110</f>
        <v>6.4645240058025008E-2</v>
      </c>
      <c r="J50" s="987">
        <f>'4D Wastewater treatment and dis'!AV147</f>
        <v>205.92061110966921</v>
      </c>
      <c r="K50" s="770">
        <f>'4D Wastewater treatment and dis'!AW147</f>
        <v>3.5727080613720332</v>
      </c>
      <c r="L50" s="771">
        <f t="shared" si="69"/>
        <v>8986.9391747351056</v>
      </c>
      <c r="M50" s="772">
        <f t="shared" si="70"/>
        <v>16.393234704674573</v>
      </c>
      <c r="N50" s="771">
        <f t="shared" si="71"/>
        <v>1391.0830592252421</v>
      </c>
      <c r="O50" s="773">
        <f t="shared" si="72"/>
        <v>131.35398369475783</v>
      </c>
      <c r="P50" s="771">
        <f t="shared" si="73"/>
        <v>5431.872332328383</v>
      </c>
      <c r="Q50" s="519">
        <f t="shared" si="74"/>
        <v>8986.9391747351056</v>
      </c>
      <c r="R50" s="521">
        <f t="shared" si="75"/>
        <v>1407.4762939299167</v>
      </c>
      <c r="S50" s="518">
        <f t="shared" si="76"/>
        <v>131.35398369475783</v>
      </c>
      <c r="T50" s="519">
        <f t="shared" si="77"/>
        <v>5431.872332328383</v>
      </c>
      <c r="U50" s="519">
        <f t="shared" si="78"/>
        <v>15957.641784688163</v>
      </c>
      <c r="V50" s="3"/>
      <c r="W50" s="596">
        <f t="shared" si="79"/>
        <v>2040</v>
      </c>
      <c r="X50" s="1101">
        <f t="shared" si="80"/>
        <v>8706.841730817745</v>
      </c>
      <c r="Y50" s="1102">
        <f t="shared" si="81"/>
        <v>1418.9912729502109</v>
      </c>
      <c r="Z50" s="1102">
        <f t="shared" si="82"/>
        <v>124.94525751499094</v>
      </c>
      <c r="AA50" s="1102">
        <f t="shared" si="83"/>
        <v>5511.4835431612637</v>
      </c>
      <c r="AB50" s="1144">
        <f t="shared" si="22"/>
        <v>15762.26180444421</v>
      </c>
      <c r="AC50" s="1425" t="str">
        <f>IF(OR('Recycling - Case 1'!AC120="No",'Recycling - Case 1'!T160="No"), "No", "Yes")</f>
        <v>Yes</v>
      </c>
      <c r="AD50" s="1101">
        <f t="shared" si="84"/>
        <v>8706.841730817745</v>
      </c>
      <c r="AE50" s="1102">
        <f t="shared" si="85"/>
        <v>1418.9912729502109</v>
      </c>
      <c r="AF50" s="1102">
        <f t="shared" si="86"/>
        <v>124.94525751499094</v>
      </c>
      <c r="AG50" s="1102">
        <f t="shared" si="87"/>
        <v>5511.4835431612637</v>
      </c>
      <c r="AH50" s="1144">
        <f t="shared" si="60"/>
        <v>15762.26180444421</v>
      </c>
      <c r="AI50" s="1425" t="str">
        <f>IF(OR('Recycling - Case 1'!AI31="No",'Recycling - Case 1'!Z160="No"), "No", "Yes")</f>
        <v>Yes</v>
      </c>
      <c r="AJ50" s="1101">
        <f t="shared" si="88"/>
        <v>7711.7473592699926</v>
      </c>
      <c r="AK50" s="1102">
        <f t="shared" si="89"/>
        <v>1418.9912729502109</v>
      </c>
      <c r="AL50" s="1102">
        <f t="shared" si="90"/>
        <v>96.424643765802159</v>
      </c>
      <c r="AM50" s="1102">
        <f t="shared" si="91"/>
        <v>5910.4987001449481</v>
      </c>
      <c r="AN50" s="1144">
        <f t="shared" si="92"/>
        <v>15137.661976130954</v>
      </c>
      <c r="AO50" s="1418" t="str">
        <f>IF(OR('Recycling - Case 2'!AC120="No",'Recycling - Case 2'!T160="No"), "No", "Yes")</f>
        <v>Yes</v>
      </c>
      <c r="AP50" s="1101">
        <f t="shared" si="93"/>
        <v>7711.7473592699926</v>
      </c>
      <c r="AQ50" s="1102">
        <f t="shared" si="94"/>
        <v>1418.9912729502109</v>
      </c>
      <c r="AR50" s="1102">
        <f t="shared" si="95"/>
        <v>96.424643765802159</v>
      </c>
      <c r="AS50" s="1102">
        <f t="shared" si="96"/>
        <v>5910.4987001449481</v>
      </c>
      <c r="AT50" s="1144">
        <f t="shared" si="37"/>
        <v>15137.661976130954</v>
      </c>
      <c r="AU50" s="1425" t="str">
        <f>IF(OR('Recycling - Case 2'!AC120="No",'Recycling - Case 2'!T200="No"), "No", "Yes")</f>
        <v>Yes</v>
      </c>
      <c r="AV50" s="1101">
        <f t="shared" si="63"/>
        <v>7712.9519162952938</v>
      </c>
      <c r="AW50" s="1102">
        <f t="shared" si="64"/>
        <v>861.78338540237428</v>
      </c>
      <c r="AX50" s="1102">
        <f t="shared" si="65"/>
        <v>96.424643765802131</v>
      </c>
      <c r="AY50" s="1102">
        <f t="shared" si="66"/>
        <v>5910.4987001449481</v>
      </c>
      <c r="AZ50" s="1144">
        <f t="shared" si="67"/>
        <v>14581.658645608419</v>
      </c>
      <c r="BA50" s="1425" t="str">
        <f>IF(OR('Recycling - Case 3'!AC120="No",'Recycling - Case 3'!T160="No"), "No", "Yes")</f>
        <v>Yes</v>
      </c>
      <c r="BB50" s="1101">
        <f t="shared" si="97"/>
        <v>7712.9519162952938</v>
      </c>
      <c r="BC50" s="1102">
        <f t="shared" si="98"/>
        <v>861.78338540237428</v>
      </c>
      <c r="BD50" s="1102">
        <f t="shared" si="99"/>
        <v>96.424643765802131</v>
      </c>
      <c r="BE50" s="1102">
        <f t="shared" si="100"/>
        <v>5910.4987001449481</v>
      </c>
      <c r="BF50" s="1144">
        <f t="shared" si="47"/>
        <v>14581.658645608419</v>
      </c>
      <c r="BG50" s="1425" t="str">
        <f>IF(OR('Recycling - Case 3'!AC120="No",'Recycling - Case 3'!T200="No"), "No", "Yes")</f>
        <v>Yes</v>
      </c>
      <c r="BH50" s="596">
        <f t="shared" si="48"/>
        <v>2040</v>
      </c>
      <c r="BI50" s="1102">
        <f>'Recycling - Case 1'!BV120</f>
        <v>73.13991196203331</v>
      </c>
      <c r="BJ50" s="417">
        <f>'Recycling - Case 1'!BW120</f>
        <v>0.6260204597681035</v>
      </c>
      <c r="BK50" s="1144">
        <f>'Recycling - Case 1'!BX120</f>
        <v>20.945680461510253</v>
      </c>
      <c r="BL50" s="1101">
        <f>'Recycling - Case 1'!BY120</f>
        <v>73.13991196203331</v>
      </c>
      <c r="BM50" s="417">
        <f>'Recycling - Case 1'!BZ120</f>
        <v>0.6260204597681035</v>
      </c>
      <c r="BN50" s="1144">
        <f>'Recycling - Case 1'!CA120</f>
        <v>20.945680461510253</v>
      </c>
      <c r="BO50" s="1102">
        <f>'Recycling - Case 2'!BV120</f>
        <v>67.293690859519771</v>
      </c>
      <c r="BP50" s="417">
        <f>'Recycling - Case 2'!BW120</f>
        <v>0.76347336858080095</v>
      </c>
      <c r="BQ50" s="1144">
        <f>'Recycling - Case 2'!BX120</f>
        <v>20.945680461510253</v>
      </c>
      <c r="BR50" s="1101">
        <f>'Recycling - Case 2'!BY120</f>
        <v>67.293690859519771</v>
      </c>
      <c r="BS50" s="417">
        <f>'Recycling - Case 2'!BZ120</f>
        <v>0.76347336858080095</v>
      </c>
      <c r="BT50" s="1144">
        <f>'Recycling - Case 2'!CA120</f>
        <v>20.945680461510253</v>
      </c>
      <c r="BU50" s="1102">
        <f>'Recycling - Case 3'!BV120</f>
        <v>67.293690859519771</v>
      </c>
      <c r="BV50" s="417">
        <f>'Recycling - Case 3'!BW120</f>
        <v>0.76347336858080095</v>
      </c>
      <c r="BW50" s="1144">
        <f>'Recycling - Case 3'!BX120</f>
        <v>20.945680461510253</v>
      </c>
      <c r="BX50" s="1101">
        <f>'Recycling - Case 3'!BY120</f>
        <v>67.293690859519771</v>
      </c>
      <c r="BY50" s="417">
        <f>'Recycling - Case 3'!BZ120</f>
        <v>0.76347336858080095</v>
      </c>
      <c r="BZ50" s="1144">
        <f>'Recycling - Case 3'!CA120</f>
        <v>20.945680461510253</v>
      </c>
      <c r="CA50" s="596">
        <v>2040</v>
      </c>
      <c r="CB50" s="649">
        <f>'Recycling - Case 1'!CB120</f>
        <v>0.36364968269495412</v>
      </c>
      <c r="CC50" s="417">
        <f>'Recycling - Case 1'!CC120</f>
        <v>0.32278265980265231</v>
      </c>
      <c r="CD50" s="417">
        <f>'Recycling - Case 1'!CD120</f>
        <v>0.36364968269495412</v>
      </c>
      <c r="CE50" s="525">
        <f>'Recycling - Case 1'!CE120</f>
        <v>0.32278265980265231</v>
      </c>
      <c r="CF50" s="649">
        <f>'Recycling - Case 2'!CB120</f>
        <v>0.35603457392895366</v>
      </c>
      <c r="CG50" s="417">
        <f>'Recycling - Case 2'!CC120</f>
        <v>0.39917621913890244</v>
      </c>
      <c r="CH50" s="417">
        <f>'Recycling - Case 2'!CD120</f>
        <v>0.35603457392895366</v>
      </c>
      <c r="CI50" s="525">
        <f>'Recycling - Case 2'!CE120</f>
        <v>0.39917621913890244</v>
      </c>
      <c r="CJ50" s="649">
        <f>'Recycling - Case 3'!CB120</f>
        <v>0.35603457392895366</v>
      </c>
      <c r="CK50" s="417">
        <f>'Recycling - Case 3'!CC120</f>
        <v>0.39917621913890244</v>
      </c>
      <c r="CL50" s="417">
        <f>'Recycling - Case 3'!CD120</f>
        <v>0.35603457392895366</v>
      </c>
      <c r="CM50" s="525">
        <f>'Recycling - Case 3'!CE120</f>
        <v>0.39917621913890244</v>
      </c>
    </row>
    <row r="51" spans="1:91">
      <c r="A51" s="4">
        <f>'Input data'!A140</f>
        <v>2040</v>
      </c>
      <c r="B51" s="4"/>
      <c r="C51" s="769">
        <f>'4A SWD Case 1'!BG110</f>
        <v>414.61151099132121</v>
      </c>
      <c r="D51" s="3">
        <f>'4B Biological treatment '!T104</f>
        <v>0.78701679032180316</v>
      </c>
      <c r="E51" s="1159">
        <f>'4B Biological treatment '!U104</f>
        <v>35.415755564481138</v>
      </c>
      <c r="F51" s="1159">
        <f>'4B Biological treatment '!W104</f>
        <v>2.124945333868868</v>
      </c>
      <c r="G51" s="952">
        <f>'4C2 Open-burning '!R111</f>
        <v>13.12730681731334</v>
      </c>
      <c r="H51" s="952">
        <f>'4C2 Open-burning '!Z111</f>
        <v>4.4169368466367205</v>
      </c>
      <c r="I51" s="952">
        <f>'4C2 Open-burning '!AH111</f>
        <v>6.1491215865504718E-2</v>
      </c>
      <c r="J51" s="987">
        <f>'4D Wastewater treatment and dis'!AV148</f>
        <v>209.32606562704407</v>
      </c>
      <c r="K51" s="770">
        <f>'4D Wastewater treatment and dis'!AW148</f>
        <v>3.5988263386881876</v>
      </c>
      <c r="L51" s="771">
        <f t="shared" si="69"/>
        <v>8706.841730817745</v>
      </c>
      <c r="M51" s="772">
        <f t="shared" si="70"/>
        <v>16.527352596757865</v>
      </c>
      <c r="N51" s="771">
        <f t="shared" si="71"/>
        <v>1402.463920353453</v>
      </c>
      <c r="O51" s="773">
        <f t="shared" si="72"/>
        <v>124.94525751499094</v>
      </c>
      <c r="P51" s="771">
        <f t="shared" si="73"/>
        <v>5511.4835431612637</v>
      </c>
      <c r="Q51" s="519">
        <f t="shared" si="74"/>
        <v>8706.841730817745</v>
      </c>
      <c r="R51" s="521">
        <f t="shared" si="75"/>
        <v>1418.9912729502109</v>
      </c>
      <c r="S51" s="518">
        <f t="shared" si="76"/>
        <v>124.94525751499094</v>
      </c>
      <c r="T51" s="519">
        <f t="shared" si="77"/>
        <v>5511.4835431612637</v>
      </c>
      <c r="U51" s="519">
        <f t="shared" si="78"/>
        <v>15762.26180444421</v>
      </c>
      <c r="V51" s="3"/>
      <c r="W51" s="596">
        <f t="shared" si="79"/>
        <v>2041</v>
      </c>
      <c r="X51" s="1101">
        <f t="shared" si="80"/>
        <v>8443.0579618592474</v>
      </c>
      <c r="Y51" s="1102">
        <f t="shared" si="81"/>
        <v>1430.9802322608355</v>
      </c>
      <c r="Z51" s="1102">
        <f t="shared" si="82"/>
        <v>118.59892671408207</v>
      </c>
      <c r="AA51" s="1102">
        <f t="shared" si="83"/>
        <v>5585.9183683676356</v>
      </c>
      <c r="AB51" s="1144">
        <f t="shared" si="22"/>
        <v>15578.555489201801</v>
      </c>
      <c r="AC51" s="1425" t="str">
        <f>IF(OR('Recycling - Case 1'!AC121="No",'Recycling - Case 1'!T161="No"), "No", "Yes")</f>
        <v>Yes</v>
      </c>
      <c r="AD51" s="1101">
        <f t="shared" si="84"/>
        <v>8443.0579618592474</v>
      </c>
      <c r="AE51" s="1102">
        <f t="shared" si="85"/>
        <v>1430.9802322608355</v>
      </c>
      <c r="AF51" s="1102">
        <f t="shared" si="86"/>
        <v>118.59892671408207</v>
      </c>
      <c r="AG51" s="1102">
        <f t="shared" si="87"/>
        <v>5585.9183683676356</v>
      </c>
      <c r="AH51" s="1144">
        <f t="shared" si="60"/>
        <v>15578.555489201801</v>
      </c>
      <c r="AI51" s="1425" t="str">
        <f>IF(OR('Recycling - Case 1'!AI32="No",'Recycling - Case 1'!Z161="No"), "No", "Yes")</f>
        <v>Yes</v>
      </c>
      <c r="AJ51" s="1101">
        <f t="shared" si="88"/>
        <v>7438.4984942618039</v>
      </c>
      <c r="AK51" s="1102">
        <f t="shared" si="89"/>
        <v>1430.9802322608355</v>
      </c>
      <c r="AL51" s="1102">
        <f t="shared" si="90"/>
        <v>96.232239653351655</v>
      </c>
      <c r="AM51" s="1102">
        <f t="shared" si="91"/>
        <v>5947.2659354915595</v>
      </c>
      <c r="AN51" s="1144">
        <f t="shared" si="92"/>
        <v>14912.976901667549</v>
      </c>
      <c r="AO51" s="1418" t="str">
        <f>IF(OR('Recycling - Case 2'!AC121="No",'Recycling - Case 2'!T161="No"), "No", "Yes")</f>
        <v>Yes</v>
      </c>
      <c r="AP51" s="1101">
        <f t="shared" si="93"/>
        <v>7438.4984942618039</v>
      </c>
      <c r="AQ51" s="1102">
        <f t="shared" si="94"/>
        <v>1430.9802322608355</v>
      </c>
      <c r="AR51" s="1102">
        <f t="shared" si="95"/>
        <v>96.232239653351655</v>
      </c>
      <c r="AS51" s="1102">
        <f t="shared" si="96"/>
        <v>5947.2659354915595</v>
      </c>
      <c r="AT51" s="1144">
        <f t="shared" si="37"/>
        <v>14912.976901667549</v>
      </c>
      <c r="AU51" s="1425" t="str">
        <f>IF(OR('Recycling - Case 2'!AC121="No",'Recycling - Case 2'!T201="No"), "No", "Yes")</f>
        <v>Yes</v>
      </c>
      <c r="AV51" s="1101">
        <f t="shared" si="63"/>
        <v>7439.7553525788071</v>
      </c>
      <c r="AW51" s="1102">
        <f t="shared" si="64"/>
        <v>869.06453373578199</v>
      </c>
      <c r="AX51" s="1102">
        <f t="shared" si="65"/>
        <v>96.232239653351655</v>
      </c>
      <c r="AY51" s="1102">
        <f t="shared" si="66"/>
        <v>5947.2659354915595</v>
      </c>
      <c r="AZ51" s="1144">
        <f t="shared" si="67"/>
        <v>14352.3180614595</v>
      </c>
      <c r="BA51" s="1425" t="str">
        <f>IF(OR('Recycling - Case 3'!AC121="No",'Recycling - Case 3'!T161="No"), "No", "Yes")</f>
        <v>Yes</v>
      </c>
      <c r="BB51" s="1101">
        <f t="shared" si="97"/>
        <v>7439.7553525788071</v>
      </c>
      <c r="BC51" s="1102">
        <f t="shared" si="98"/>
        <v>869.06453373578199</v>
      </c>
      <c r="BD51" s="1102">
        <f t="shared" si="99"/>
        <v>96.232239653351655</v>
      </c>
      <c r="BE51" s="1102">
        <f t="shared" si="100"/>
        <v>5947.2659354915595</v>
      </c>
      <c r="BF51" s="1144">
        <f t="shared" si="47"/>
        <v>14352.3180614595</v>
      </c>
      <c r="BG51" s="1425" t="str">
        <f>IF(OR('Recycling - Case 3'!AC121="No",'Recycling - Case 3'!T201="No"), "No", "Yes")</f>
        <v>Yes</v>
      </c>
      <c r="BH51" s="596">
        <f t="shared" si="48"/>
        <v>2041</v>
      </c>
      <c r="BI51" s="1102">
        <f>'Recycling - Case 1'!BV121</f>
        <v>72.190892599144334</v>
      </c>
      <c r="BJ51" s="417">
        <f>'Recycling - Case 1'!BW121</f>
        <v>0.64147845603781961</v>
      </c>
      <c r="BK51" s="1144">
        <f>'Recycling - Case 1'!BX121</f>
        <v>19.664699523913871</v>
      </c>
      <c r="BL51" s="1101">
        <f>'Recycling - Case 1'!BY121</f>
        <v>72.190892599144334</v>
      </c>
      <c r="BM51" s="417">
        <f>'Recycling - Case 1'!BZ121</f>
        <v>0.64147845603781961</v>
      </c>
      <c r="BN51" s="1144">
        <f>'Recycling - Case 1'!CA121</f>
        <v>19.664699523913871</v>
      </c>
      <c r="BO51" s="1102">
        <f>'Recycling - Case 2'!BV121</f>
        <v>67.62541865001316</v>
      </c>
      <c r="BP51" s="417">
        <f>'Recycling - Case 2'!BW121</f>
        <v>0.76463361953968378</v>
      </c>
      <c r="BQ51" s="1144">
        <f>'Recycling - Case 2'!BX121</f>
        <v>19.664699523913871</v>
      </c>
      <c r="BR51" s="1101">
        <f>'Recycling - Case 2'!BY121</f>
        <v>67.62541865001316</v>
      </c>
      <c r="BS51" s="417">
        <f>'Recycling - Case 2'!BZ121</f>
        <v>0.76463361953968378</v>
      </c>
      <c r="BT51" s="1144">
        <f>'Recycling - Case 2'!CA121</f>
        <v>19.664699523913871</v>
      </c>
      <c r="BU51" s="1102">
        <f>'Recycling - Case 3'!BV121</f>
        <v>67.62541865001316</v>
      </c>
      <c r="BV51" s="417">
        <f>'Recycling - Case 3'!BW121</f>
        <v>0.76463361953968378</v>
      </c>
      <c r="BW51" s="1144">
        <f>'Recycling - Case 3'!BX121</f>
        <v>19.664699523913871</v>
      </c>
      <c r="BX51" s="1101">
        <f>'Recycling - Case 3'!BY121</f>
        <v>67.62541865001316</v>
      </c>
      <c r="BY51" s="417">
        <f>'Recycling - Case 3'!BZ121</f>
        <v>0.76463361953968378</v>
      </c>
      <c r="BZ51" s="1144">
        <f>'Recycling - Case 3'!CA121</f>
        <v>19.664699523913871</v>
      </c>
      <c r="CA51" s="596">
        <v>2041</v>
      </c>
      <c r="CB51" s="649">
        <f>'Recycling - Case 1'!CB121</f>
        <v>0.37326306970302392</v>
      </c>
      <c r="CC51" s="417">
        <f>'Recycling - Case 1'!CC121</f>
        <v>0.33718993558856425</v>
      </c>
      <c r="CD51" s="417">
        <f>'Recycling - Case 1'!CD121</f>
        <v>0.37326306970302392</v>
      </c>
      <c r="CE51" s="525">
        <f>'Recycling - Case 1'!CE121</f>
        <v>0.33718993558856425</v>
      </c>
      <c r="CF51" s="649">
        <f>'Recycling - Case 2'!CB121</f>
        <v>0.35803956113748092</v>
      </c>
      <c r="CG51" s="417">
        <f>'Recycling - Case 2'!CC121</f>
        <v>0.39997456790101549</v>
      </c>
      <c r="CH51" s="417">
        <f>'Recycling - Case 2'!CD121</f>
        <v>0.35803956113748092</v>
      </c>
      <c r="CI51" s="525">
        <f>'Recycling - Case 2'!CE121</f>
        <v>0.39997456790101549</v>
      </c>
      <c r="CJ51" s="649">
        <f>'Recycling - Case 3'!CB121</f>
        <v>0.35803956113748092</v>
      </c>
      <c r="CK51" s="417">
        <f>'Recycling - Case 3'!CC121</f>
        <v>0.39997456790101549</v>
      </c>
      <c r="CL51" s="417">
        <f>'Recycling - Case 3'!CD121</f>
        <v>0.35803956113748092</v>
      </c>
      <c r="CM51" s="525">
        <f>'Recycling - Case 3'!CE121</f>
        <v>0.39997456790101549</v>
      </c>
    </row>
    <row r="52" spans="1:91">
      <c r="A52" s="4">
        <f>'Input data'!A141</f>
        <v>2041</v>
      </c>
      <c r="B52" s="4"/>
      <c r="C52" s="769">
        <f>'4A SWD Case 1'!BG111</f>
        <v>402.05037913615467</v>
      </c>
      <c r="D52" s="3">
        <f>'4B Biological treatment '!T105</f>
        <v>0.79366624085459558</v>
      </c>
      <c r="E52" s="1159">
        <f>'4B Biological treatment '!U105</f>
        <v>35.714980838456796</v>
      </c>
      <c r="F52" s="1159">
        <f>'4B Biological treatment '!W105</f>
        <v>2.1428988503074073</v>
      </c>
      <c r="G52" s="952">
        <f>'4C2 Open-burning '!R112</f>
        <v>12.460532957747674</v>
      </c>
      <c r="H52" s="952">
        <f>'4C2 Open-burning '!Z112</f>
        <v>4.192587856423013</v>
      </c>
      <c r="I52" s="952">
        <f>'4C2 Open-burning '!AH112</f>
        <v>5.8367899262745576E-2</v>
      </c>
      <c r="J52" s="987">
        <f>'4D Wastewater treatment and dis'!AV149</f>
        <v>212.54010495110225</v>
      </c>
      <c r="K52" s="770">
        <f>'4D Wastewater treatment and dis'!AW149</f>
        <v>3.6212134335306052</v>
      </c>
      <c r="L52" s="771">
        <f t="shared" si="69"/>
        <v>8443.0579618592474</v>
      </c>
      <c r="M52" s="772">
        <f t="shared" si="70"/>
        <v>16.666991057946507</v>
      </c>
      <c r="N52" s="771">
        <f t="shared" si="71"/>
        <v>1414.313241202889</v>
      </c>
      <c r="O52" s="773">
        <f t="shared" si="72"/>
        <v>118.59892671408207</v>
      </c>
      <c r="P52" s="771">
        <f t="shared" si="73"/>
        <v>5585.9183683676356</v>
      </c>
      <c r="Q52" s="519">
        <f t="shared" si="74"/>
        <v>8443.0579618592474</v>
      </c>
      <c r="R52" s="521">
        <f t="shared" si="75"/>
        <v>1430.9802322608355</v>
      </c>
      <c r="S52" s="518">
        <f t="shared" si="76"/>
        <v>118.59892671408207</v>
      </c>
      <c r="T52" s="519">
        <f t="shared" si="77"/>
        <v>5585.9183683676356</v>
      </c>
      <c r="U52" s="519">
        <f t="shared" si="78"/>
        <v>15578.555489201801</v>
      </c>
      <c r="V52" s="3"/>
      <c r="W52" s="596">
        <f t="shared" si="79"/>
        <v>2042</v>
      </c>
      <c r="X52" s="1101">
        <f t="shared" si="80"/>
        <v>8186.7654357906695</v>
      </c>
      <c r="Y52" s="1102">
        <f t="shared" si="81"/>
        <v>1443.4807769096187</v>
      </c>
      <c r="Z52" s="1102">
        <f t="shared" si="82"/>
        <v>112.27558127611516</v>
      </c>
      <c r="AA52" s="1102">
        <f t="shared" si="83"/>
        <v>5661.0062950673746</v>
      </c>
      <c r="AB52" s="1144">
        <f t="shared" si="22"/>
        <v>15403.528089043777</v>
      </c>
      <c r="AC52" s="1425" t="str">
        <f>IF(OR('Recycling - Case 1'!AC122="No",'Recycling - Case 1'!T162="No"), "No", "Yes")</f>
        <v>Yes</v>
      </c>
      <c r="AD52" s="1101">
        <f t="shared" si="84"/>
        <v>8186.7654357906695</v>
      </c>
      <c r="AE52" s="1102">
        <f t="shared" si="85"/>
        <v>1443.4807769096187</v>
      </c>
      <c r="AF52" s="1102">
        <f t="shared" si="86"/>
        <v>112.27558127611516</v>
      </c>
      <c r="AG52" s="1102">
        <f t="shared" si="87"/>
        <v>5661.0062950673746</v>
      </c>
      <c r="AH52" s="1144">
        <f t="shared" si="60"/>
        <v>15403.528089043777</v>
      </c>
      <c r="AI52" s="1425" t="str">
        <f>IF(OR('Recycling - Case 1'!AI33="No",'Recycling - Case 1'!Z162="No"), "No", "Yes")</f>
        <v>Yes</v>
      </c>
      <c r="AJ52" s="1101">
        <f t="shared" si="88"/>
        <v>7182.5151804852858</v>
      </c>
      <c r="AK52" s="1102">
        <f t="shared" si="89"/>
        <v>1443.4807769096187</v>
      </c>
      <c r="AL52" s="1102">
        <f t="shared" si="90"/>
        <v>96.042106440541971</v>
      </c>
      <c r="AM52" s="1102">
        <f t="shared" si="91"/>
        <v>5984.1987890154069</v>
      </c>
      <c r="AN52" s="1144">
        <f t="shared" si="92"/>
        <v>14706.236852850854</v>
      </c>
      <c r="AO52" s="1418" t="str">
        <f>IF(OR('Recycling - Case 2'!AC122="No",'Recycling - Case 2'!T162="No"), "No", "Yes")</f>
        <v>Yes</v>
      </c>
      <c r="AP52" s="1101">
        <f t="shared" si="93"/>
        <v>7182.5151804852858</v>
      </c>
      <c r="AQ52" s="1102">
        <f t="shared" si="94"/>
        <v>1443.4807769096187</v>
      </c>
      <c r="AR52" s="1102">
        <f t="shared" si="95"/>
        <v>96.042106440541971</v>
      </c>
      <c r="AS52" s="1102">
        <f t="shared" si="96"/>
        <v>5984.1987890154069</v>
      </c>
      <c r="AT52" s="1144">
        <f t="shared" si="37"/>
        <v>14706.236852850854</v>
      </c>
      <c r="AU52" s="1425" t="str">
        <f>IF(OR('Recycling - Case 2'!AC122="No",'Recycling - Case 2'!T202="No"), "No", "Yes")</f>
        <v>Yes</v>
      </c>
      <c r="AV52" s="1101">
        <f t="shared" si="63"/>
        <v>7183.822056019585</v>
      </c>
      <c r="AW52" s="1102">
        <f t="shared" si="64"/>
        <v>876.65637865559199</v>
      </c>
      <c r="AX52" s="1102">
        <f t="shared" si="65"/>
        <v>96.042106440541971</v>
      </c>
      <c r="AY52" s="1102">
        <f t="shared" si="66"/>
        <v>5984.1987890154069</v>
      </c>
      <c r="AZ52" s="1144">
        <f t="shared" si="67"/>
        <v>14140.719330131125</v>
      </c>
      <c r="BA52" s="1425" t="str">
        <f>IF(OR('Recycling - Case 3'!AC122="No",'Recycling - Case 3'!T162="No"), "No", "Yes")</f>
        <v>Yes</v>
      </c>
      <c r="BB52" s="1101">
        <f t="shared" si="97"/>
        <v>7183.822056019585</v>
      </c>
      <c r="BC52" s="1102">
        <f t="shared" si="98"/>
        <v>876.65637865559199</v>
      </c>
      <c r="BD52" s="1102">
        <f t="shared" si="99"/>
        <v>96.042106440541971</v>
      </c>
      <c r="BE52" s="1102">
        <f t="shared" si="100"/>
        <v>5984.1987890154069</v>
      </c>
      <c r="BF52" s="1144">
        <f t="shared" si="47"/>
        <v>14140.719330131125</v>
      </c>
      <c r="BG52" s="1425" t="str">
        <f>IF(OR('Recycling - Case 3'!AC122="No",'Recycling - Case 3'!T202="No"), "No", "Yes")</f>
        <v>Yes</v>
      </c>
      <c r="BH52" s="596">
        <f t="shared" si="48"/>
        <v>2042</v>
      </c>
      <c r="BI52" s="1102">
        <f>'Recycling - Case 1'!BV122</f>
        <v>71.346716720966938</v>
      </c>
      <c r="BJ52" s="417">
        <f>'Recycling - Case 1'!BW122</f>
        <v>0.65685734130558426</v>
      </c>
      <c r="BK52" s="1144">
        <f>'Recycling - Case 1'!BX122</f>
        <v>18.383718586317492</v>
      </c>
      <c r="BL52" s="1101">
        <f>'Recycling - Case 1'!BY122</f>
        <v>71.346716720966938</v>
      </c>
      <c r="BM52" s="417">
        <f>'Recycling - Case 1'!BZ122</f>
        <v>0.65685734130558426</v>
      </c>
      <c r="BN52" s="1144">
        <f>'Recycling - Case 1'!CA122</f>
        <v>18.383718586317492</v>
      </c>
      <c r="BO52" s="1102">
        <f>'Recycling - Case 2'!BV122</f>
        <v>67.990896492118125</v>
      </c>
      <c r="BP52" s="417">
        <f>'Recycling - Case 2'!BW122</f>
        <v>0.76589880651724729</v>
      </c>
      <c r="BQ52" s="1144">
        <f>'Recycling - Case 2'!BX122</f>
        <v>18.383718586317492</v>
      </c>
      <c r="BR52" s="1101">
        <f>'Recycling - Case 2'!BY122</f>
        <v>67.990896492118125</v>
      </c>
      <c r="BS52" s="417">
        <f>'Recycling - Case 2'!BZ122</f>
        <v>0.76589880651724729</v>
      </c>
      <c r="BT52" s="1144">
        <f>'Recycling - Case 2'!CA122</f>
        <v>18.383718586317492</v>
      </c>
      <c r="BU52" s="1102">
        <f>'Recycling - Case 3'!BV122</f>
        <v>67.990896492118125</v>
      </c>
      <c r="BV52" s="417">
        <f>'Recycling - Case 3'!BW122</f>
        <v>0.76589880651724729</v>
      </c>
      <c r="BW52" s="1144">
        <f>'Recycling - Case 3'!BX122</f>
        <v>18.383718586317492</v>
      </c>
      <c r="BX52" s="1101">
        <f>'Recycling - Case 3'!BY122</f>
        <v>67.990896492118125</v>
      </c>
      <c r="BY52" s="417">
        <f>'Recycling - Case 3'!BZ122</f>
        <v>0.76589880651724729</v>
      </c>
      <c r="BZ52" s="1144">
        <f>'Recycling - Case 3'!CA122</f>
        <v>18.383718586317492</v>
      </c>
      <c r="CA52" s="596">
        <v>2042</v>
      </c>
      <c r="CB52" s="649">
        <f>'Recycling - Case 1'!CB122</f>
        <v>0.38276102392324807</v>
      </c>
      <c r="CC52" s="417">
        <f>'Recycling - Case 1'!CC122</f>
        <v>0.35073519895588434</v>
      </c>
      <c r="CD52" s="417">
        <f>'Recycling - Case 1'!CD122</f>
        <v>0.38276102392324807</v>
      </c>
      <c r="CE52" s="525">
        <f>'Recycling - Case 1'!CE122</f>
        <v>0.35073519895588434</v>
      </c>
      <c r="CF52" s="649">
        <f>'Recycling - Case 2'!CB122</f>
        <v>0.36002784798689913</v>
      </c>
      <c r="CG52" s="417">
        <f>'Recycling - Case 2'!CC122</f>
        <v>0.40093007692232452</v>
      </c>
      <c r="CH52" s="417">
        <f>'Recycling - Case 2'!CD122</f>
        <v>0.36002784798689913</v>
      </c>
      <c r="CI52" s="525">
        <f>'Recycling - Case 2'!CE122</f>
        <v>0.40093007692232452</v>
      </c>
      <c r="CJ52" s="649">
        <f>'Recycling - Case 3'!CB122</f>
        <v>0.36002784798689913</v>
      </c>
      <c r="CK52" s="417">
        <f>'Recycling - Case 3'!CC122</f>
        <v>0.40093007692232452</v>
      </c>
      <c r="CL52" s="417">
        <f>'Recycling - Case 3'!CD122</f>
        <v>0.36002784798689913</v>
      </c>
      <c r="CM52" s="525">
        <f>'Recycling - Case 3'!CE122</f>
        <v>0.40093007692232452</v>
      </c>
    </row>
    <row r="53" spans="1:91">
      <c r="A53" s="4">
        <f>'Input data'!A142</f>
        <v>2042</v>
      </c>
      <c r="B53" s="4"/>
      <c r="C53" s="769">
        <f>'4A SWD Case 1'!BG112</f>
        <v>389.84597313288901</v>
      </c>
      <c r="D53" s="3">
        <f>'4B Biological treatment '!T106</f>
        <v>0.80059943256218458</v>
      </c>
      <c r="E53" s="1159">
        <f>'4B Biological treatment '!U106</f>
        <v>36.026974465298309</v>
      </c>
      <c r="F53" s="1159">
        <f>'4B Biological treatment '!W106</f>
        <v>2.161618467917898</v>
      </c>
      <c r="G53" s="952">
        <f>'4C2 Open-burning '!R113</f>
        <v>11.796174043075855</v>
      </c>
      <c r="H53" s="952">
        <f>'4C2 Open-burning '!Z113</f>
        <v>3.9690514212316472</v>
      </c>
      <c r="I53" s="952">
        <f>'4C2 Open-burning '!AH113</f>
        <v>5.5255894797337793E-2</v>
      </c>
      <c r="J53" s="987">
        <f>'4D Wastewater treatment and dis'!AV150</f>
        <v>215.78375571491307</v>
      </c>
      <c r="K53" s="770">
        <f>'4D Wastewater treatment and dis'!AW150</f>
        <v>3.643701371142583</v>
      </c>
      <c r="L53" s="771">
        <f t="shared" si="69"/>
        <v>8186.7654357906695</v>
      </c>
      <c r="M53" s="772">
        <f t="shared" si="70"/>
        <v>16.812588083805878</v>
      </c>
      <c r="N53" s="771">
        <f t="shared" si="71"/>
        <v>1426.6681888258129</v>
      </c>
      <c r="O53" s="773">
        <f t="shared" si="72"/>
        <v>112.27558127611516</v>
      </c>
      <c r="P53" s="771">
        <f t="shared" si="73"/>
        <v>5661.0062950673746</v>
      </c>
      <c r="Q53" s="519">
        <f t="shared" si="74"/>
        <v>8186.7654357906695</v>
      </c>
      <c r="R53" s="521">
        <f t="shared" si="75"/>
        <v>1443.4807769096187</v>
      </c>
      <c r="S53" s="518">
        <f t="shared" si="76"/>
        <v>112.27558127611516</v>
      </c>
      <c r="T53" s="519">
        <f t="shared" si="77"/>
        <v>5661.0062950673746</v>
      </c>
      <c r="U53" s="519">
        <f t="shared" si="78"/>
        <v>15403.528089043777</v>
      </c>
      <c r="V53" s="3"/>
      <c r="W53" s="596">
        <f t="shared" si="79"/>
        <v>2043</v>
      </c>
      <c r="X53" s="1101">
        <f t="shared" si="80"/>
        <v>7937.8075893646101</v>
      </c>
      <c r="Y53" s="1102">
        <f t="shared" si="81"/>
        <v>1456.4615693567036</v>
      </c>
      <c r="Z53" s="1102">
        <f t="shared" si="82"/>
        <v>105.97445090115522</v>
      </c>
      <c r="AA53" s="1102">
        <f t="shared" si="83"/>
        <v>5736.8295733086024</v>
      </c>
      <c r="AB53" s="1144">
        <f t="shared" si="22"/>
        <v>15237.073182931072</v>
      </c>
      <c r="AC53" s="1425" t="str">
        <f>IF(OR('Recycling - Case 1'!AC123="No",'Recycling - Case 1'!T163="No"), "No", "Yes")</f>
        <v>Yes</v>
      </c>
      <c r="AD53" s="1101">
        <f t="shared" si="84"/>
        <v>7937.8075893646101</v>
      </c>
      <c r="AE53" s="1102">
        <f t="shared" si="85"/>
        <v>1456.4615693567036</v>
      </c>
      <c r="AF53" s="1102">
        <f t="shared" si="86"/>
        <v>105.97445090115522</v>
      </c>
      <c r="AG53" s="1102">
        <f t="shared" si="87"/>
        <v>5736.8295733086024</v>
      </c>
      <c r="AH53" s="1144">
        <f t="shared" si="60"/>
        <v>15237.073182931072</v>
      </c>
      <c r="AI53" s="1425" t="str">
        <f>IF(OR('Recycling - Case 1'!AI34="No",'Recycling - Case 1'!Z163="No"), "No", "Yes")</f>
        <v>Yes</v>
      </c>
      <c r="AJ53" s="1101">
        <f t="shared" si="88"/>
        <v>6943.0513660528304</v>
      </c>
      <c r="AK53" s="1102">
        <f t="shared" si="89"/>
        <v>1456.4615693567036</v>
      </c>
      <c r="AL53" s="1102">
        <f t="shared" si="90"/>
        <v>95.85379378833197</v>
      </c>
      <c r="AM53" s="1102">
        <f t="shared" si="91"/>
        <v>6021.38006980511</v>
      </c>
      <c r="AN53" s="1144">
        <f t="shared" si="92"/>
        <v>14516.746799002976</v>
      </c>
      <c r="AO53" s="1418" t="str">
        <f>IF(OR('Recycling - Case 2'!AC123="No",'Recycling - Case 2'!T163="No"), "No", "Yes")</f>
        <v>Yes</v>
      </c>
      <c r="AP53" s="1101">
        <f t="shared" si="93"/>
        <v>6943.0513660528304</v>
      </c>
      <c r="AQ53" s="1102">
        <f t="shared" si="94"/>
        <v>1456.4615693567036</v>
      </c>
      <c r="AR53" s="1102">
        <f t="shared" si="95"/>
        <v>95.85379378833197</v>
      </c>
      <c r="AS53" s="1102">
        <f t="shared" si="96"/>
        <v>6021.38006980511</v>
      </c>
      <c r="AT53" s="1144">
        <f t="shared" si="37"/>
        <v>14516.746799002976</v>
      </c>
      <c r="AU53" s="1425" t="str">
        <f>IF(OR('Recycling - Case 2'!AC123="No",'Recycling - Case 2'!T203="No"), "No", "Yes")</f>
        <v>Yes</v>
      </c>
      <c r="AV53" s="1101">
        <f t="shared" si="63"/>
        <v>6944.4061111753108</v>
      </c>
      <c r="AW53" s="1102">
        <f t="shared" si="64"/>
        <v>884.53988821164182</v>
      </c>
      <c r="AX53" s="1102">
        <f t="shared" si="65"/>
        <v>95.85379378833197</v>
      </c>
      <c r="AY53" s="1102">
        <f t="shared" si="66"/>
        <v>6021.38006980511</v>
      </c>
      <c r="AZ53" s="1144">
        <f t="shared" si="67"/>
        <v>13946.179862980394</v>
      </c>
      <c r="BA53" s="1425" t="str">
        <f>IF(OR('Recycling - Case 3'!AC123="No",'Recycling - Case 3'!T163="No"), "No", "Yes")</f>
        <v>Yes</v>
      </c>
      <c r="BB53" s="1101">
        <f t="shared" si="97"/>
        <v>6944.4061111753108</v>
      </c>
      <c r="BC53" s="1102">
        <f t="shared" si="98"/>
        <v>884.53988821164182</v>
      </c>
      <c r="BD53" s="1102">
        <f t="shared" si="99"/>
        <v>95.85379378833197</v>
      </c>
      <c r="BE53" s="1102">
        <f t="shared" si="100"/>
        <v>6021.38006980511</v>
      </c>
      <c r="BF53" s="1144">
        <f t="shared" si="47"/>
        <v>13946.179862980394</v>
      </c>
      <c r="BG53" s="1425" t="str">
        <f>IF(OR('Recycling - Case 3'!AC123="No",'Recycling - Case 3'!T203="No"), "No", "Yes")</f>
        <v>Yes</v>
      </c>
      <c r="BH53" s="596">
        <f t="shared" si="48"/>
        <v>2043</v>
      </c>
      <c r="BI53" s="1102">
        <f>'Recycling - Case 1'!BV123</f>
        <v>70.601583075559873</v>
      </c>
      <c r="BJ53" s="417">
        <f>'Recycling - Case 1'!BW123</f>
        <v>0.67211352109214584</v>
      </c>
      <c r="BK53" s="1144">
        <f>'Recycling - Case 1'!BX123</f>
        <v>17.10273764872111</v>
      </c>
      <c r="BL53" s="1101">
        <f>'Recycling - Case 1'!BY123</f>
        <v>70.601583075559873</v>
      </c>
      <c r="BM53" s="417">
        <f>'Recycling - Case 1'!BZ123</f>
        <v>0.67211352109214584</v>
      </c>
      <c r="BN53" s="1144">
        <f>'Recycling - Case 1'!CA123</f>
        <v>17.10273764872111</v>
      </c>
      <c r="BO53" s="1102">
        <f>'Recycling - Case 2'!BV123</f>
        <v>68.38821081947502</v>
      </c>
      <c r="BP53" s="417">
        <f>'Recycling - Case 2'!BW123</f>
        <v>0.76725886195819992</v>
      </c>
      <c r="BQ53" s="1144">
        <f>'Recycling - Case 2'!BX123</f>
        <v>17.10273764872111</v>
      </c>
      <c r="BR53" s="1101">
        <f>'Recycling - Case 2'!BY123</f>
        <v>68.38821081947502</v>
      </c>
      <c r="BS53" s="417">
        <f>'Recycling - Case 2'!BZ123</f>
        <v>0.76725886195819992</v>
      </c>
      <c r="BT53" s="1144">
        <f>'Recycling - Case 2'!CA123</f>
        <v>17.10273764872111</v>
      </c>
      <c r="BU53" s="1102">
        <f>'Recycling - Case 3'!BV123</f>
        <v>68.38821081947502</v>
      </c>
      <c r="BV53" s="417">
        <f>'Recycling - Case 3'!BW123</f>
        <v>0.76725886195819992</v>
      </c>
      <c r="BW53" s="1144">
        <f>'Recycling - Case 3'!BX123</f>
        <v>17.10273764872111</v>
      </c>
      <c r="BX53" s="1101">
        <f>'Recycling - Case 3'!BY123</f>
        <v>68.38821081947502</v>
      </c>
      <c r="BY53" s="417">
        <f>'Recycling - Case 3'!BZ123</f>
        <v>0.76725886195819992</v>
      </c>
      <c r="BZ53" s="1144">
        <f>'Recycling - Case 3'!CA123</f>
        <v>17.10273764872111</v>
      </c>
      <c r="CA53" s="596">
        <v>2043</v>
      </c>
      <c r="CB53" s="649">
        <f>'Recycling - Case 1'!CB123</f>
        <v>0.39214970181301045</v>
      </c>
      <c r="CC53" s="417">
        <f>'Recycling - Case 1'!CC123</f>
        <v>0.36343450290667212</v>
      </c>
      <c r="CD53" s="417">
        <f>'Recycling - Case 1'!CD123</f>
        <v>0.39214970181301045</v>
      </c>
      <c r="CE53" s="525">
        <f>'Recycling - Case 1'!CE123</f>
        <v>0.36343450290667212</v>
      </c>
      <c r="CF53" s="649">
        <f>'Recycling - Case 2'!CB123</f>
        <v>0.36200396083168174</v>
      </c>
      <c r="CG53" s="417">
        <f>'Recycling - Case 2'!CC123</f>
        <v>0.40202615928386531</v>
      </c>
      <c r="CH53" s="417">
        <f>'Recycling - Case 2'!CD123</f>
        <v>0.36200396083168174</v>
      </c>
      <c r="CI53" s="525">
        <f>'Recycling - Case 2'!CE123</f>
        <v>0.40202615928386531</v>
      </c>
      <c r="CJ53" s="649">
        <f>'Recycling - Case 3'!CB123</f>
        <v>0.36200396083168174</v>
      </c>
      <c r="CK53" s="417">
        <f>'Recycling - Case 3'!CC123</f>
        <v>0.40202615928386531</v>
      </c>
      <c r="CL53" s="417">
        <f>'Recycling - Case 3'!CD123</f>
        <v>0.36200396083168174</v>
      </c>
      <c r="CM53" s="525">
        <f>'Recycling - Case 3'!CE123</f>
        <v>0.40202615928386531</v>
      </c>
    </row>
    <row r="54" spans="1:91">
      <c r="A54" s="4">
        <f>'Input data'!A143</f>
        <v>2043</v>
      </c>
      <c r="B54" s="4"/>
      <c r="C54" s="769">
        <f>'4A SWD Case 1'!BG113</f>
        <v>377.99083758879095</v>
      </c>
      <c r="D54" s="3">
        <f>'4B Biological treatment '!T107</f>
        <v>0.80779898466816624</v>
      </c>
      <c r="E54" s="1159">
        <f>'4B Biological treatment '!U107</f>
        <v>36.350954310067479</v>
      </c>
      <c r="F54" s="1159">
        <f>'4B Biological treatment '!W107</f>
        <v>2.1810572586040484</v>
      </c>
      <c r="G54" s="952">
        <f>'4C2 Open-burning '!R114</f>
        <v>11.134149142146203</v>
      </c>
      <c r="H54" s="952">
        <f>'4C2 Open-burning '!Z114</f>
        <v>3.7463003102078201</v>
      </c>
      <c r="I54" s="952">
        <f>'4C2 Open-burning '!AH114</f>
        <v>5.2154823369821926E-2</v>
      </c>
      <c r="J54" s="987">
        <f>'4D Wastewater treatment and dis'!AV151</f>
        <v>219.06019027175444</v>
      </c>
      <c r="K54" s="770">
        <f>'4D Wastewater treatment and dis'!AW151</f>
        <v>3.6663405729089016</v>
      </c>
      <c r="L54" s="771">
        <f t="shared" si="69"/>
        <v>7937.8075893646101</v>
      </c>
      <c r="M54" s="772">
        <f t="shared" si="70"/>
        <v>16.963778678031492</v>
      </c>
      <c r="N54" s="771">
        <f t="shared" si="71"/>
        <v>1439.4977906786721</v>
      </c>
      <c r="O54" s="773">
        <f t="shared" si="72"/>
        <v>105.97445090115522</v>
      </c>
      <c r="P54" s="771">
        <f t="shared" si="73"/>
        <v>5736.8295733086024</v>
      </c>
      <c r="Q54" s="519">
        <f t="shared" si="74"/>
        <v>7937.8075893646101</v>
      </c>
      <c r="R54" s="521">
        <f t="shared" si="75"/>
        <v>1456.4615693567036</v>
      </c>
      <c r="S54" s="518">
        <f t="shared" si="76"/>
        <v>105.97445090115522</v>
      </c>
      <c r="T54" s="519">
        <f t="shared" si="77"/>
        <v>5736.8295733086024</v>
      </c>
      <c r="U54" s="519">
        <f t="shared" si="78"/>
        <v>15237.073182931072</v>
      </c>
      <c r="V54" s="3"/>
      <c r="W54" s="596">
        <f t="shared" si="79"/>
        <v>2044</v>
      </c>
      <c r="X54" s="1101">
        <f t="shared" si="80"/>
        <v>7696.0294838658183</v>
      </c>
      <c r="Y54" s="1102">
        <f t="shared" si="81"/>
        <v>1469.9923356282711</v>
      </c>
      <c r="Z54" s="1102">
        <f t="shared" si="82"/>
        <v>99.695611201966173</v>
      </c>
      <c r="AA54" s="1102">
        <f t="shared" si="83"/>
        <v>5813.3137796102064</v>
      </c>
      <c r="AB54" s="1144">
        <f t="shared" si="22"/>
        <v>15079.031210306264</v>
      </c>
      <c r="AC54" s="1425" t="str">
        <f>IF(OR('Recycling - Case 1'!AC124="No",'Recycling - Case 1'!T164="No"), "No", "Yes")</f>
        <v>Yes</v>
      </c>
      <c r="AD54" s="1101">
        <f t="shared" si="84"/>
        <v>7696.0294838658183</v>
      </c>
      <c r="AE54" s="1102">
        <f t="shared" si="85"/>
        <v>1469.9923356282711</v>
      </c>
      <c r="AF54" s="1102">
        <f t="shared" si="86"/>
        <v>99.695611201966173</v>
      </c>
      <c r="AG54" s="1102">
        <f t="shared" si="87"/>
        <v>5813.3137796102064</v>
      </c>
      <c r="AH54" s="1144">
        <f t="shared" si="60"/>
        <v>15079.031210306264</v>
      </c>
      <c r="AI54" s="1425" t="str">
        <f>IF(OR('Recycling - Case 1'!AI35="No",'Recycling - Case 1'!Z164="No"), "No", "Yes")</f>
        <v>Yes</v>
      </c>
      <c r="AJ54" s="1101">
        <f t="shared" si="88"/>
        <v>6719.3937156329284</v>
      </c>
      <c r="AK54" s="1102">
        <f t="shared" si="89"/>
        <v>1469.9923356282711</v>
      </c>
      <c r="AL54" s="1102">
        <f t="shared" si="90"/>
        <v>95.667697386784226</v>
      </c>
      <c r="AM54" s="1102">
        <f t="shared" si="91"/>
        <v>6058.7269687720527</v>
      </c>
      <c r="AN54" s="1144">
        <f t="shared" si="92"/>
        <v>14343.780717420035</v>
      </c>
      <c r="AO54" s="1418" t="str">
        <f>IF(OR('Recycling - Case 2'!AC124="No",'Recycling - Case 2'!T164="No"), "No", "Yes")</f>
        <v>Yes</v>
      </c>
      <c r="AP54" s="1101">
        <f t="shared" si="93"/>
        <v>6719.3937156329284</v>
      </c>
      <c r="AQ54" s="1102">
        <f t="shared" si="94"/>
        <v>1469.9923356282711</v>
      </c>
      <c r="AR54" s="1102">
        <f t="shared" si="95"/>
        <v>95.667697386784226</v>
      </c>
      <c r="AS54" s="1102">
        <f t="shared" si="96"/>
        <v>6058.7269687720527</v>
      </c>
      <c r="AT54" s="1144">
        <f t="shared" si="37"/>
        <v>14343.780717420035</v>
      </c>
      <c r="AU54" s="1425" t="str">
        <f>IF(OR('Recycling - Case 2'!AC124="No",'Recycling - Case 2'!T204="No"), "No", "Yes")</f>
        <v>Yes</v>
      </c>
      <c r="AV54" s="1101">
        <f t="shared" si="63"/>
        <v>6720.7943129293872</v>
      </c>
      <c r="AW54" s="1102">
        <f t="shared" si="64"/>
        <v>892.75740849304327</v>
      </c>
      <c r="AX54" s="1102">
        <f t="shared" si="65"/>
        <v>95.667697386784226</v>
      </c>
      <c r="AY54" s="1102">
        <f t="shared" si="66"/>
        <v>6058.7269687720527</v>
      </c>
      <c r="AZ54" s="1144">
        <f t="shared" si="67"/>
        <v>13767.946387581267</v>
      </c>
      <c r="BA54" s="1425" t="str">
        <f>IF(OR('Recycling - Case 3'!AC124="No",'Recycling - Case 3'!T164="No"), "No", "Yes")</f>
        <v>Yes</v>
      </c>
      <c r="BB54" s="1101">
        <f t="shared" si="97"/>
        <v>6720.7943129293872</v>
      </c>
      <c r="BC54" s="1102">
        <f t="shared" si="98"/>
        <v>892.75740849304327</v>
      </c>
      <c r="BD54" s="1102">
        <f t="shared" si="99"/>
        <v>95.667697386784226</v>
      </c>
      <c r="BE54" s="1102">
        <f t="shared" si="100"/>
        <v>6058.7269687720527</v>
      </c>
      <c r="BF54" s="1144">
        <f t="shared" si="47"/>
        <v>13767.946387581267</v>
      </c>
      <c r="BG54" s="1425" t="str">
        <f>IF(OR('Recycling - Case 3'!AC124="No",'Recycling - Case 3'!T204="No"), "No", "Yes")</f>
        <v>Yes</v>
      </c>
      <c r="BH54" s="596">
        <f t="shared" si="48"/>
        <v>2044</v>
      </c>
      <c r="BI54" s="1102">
        <f>'Recycling - Case 1'!BV124</f>
        <v>69.956283762597309</v>
      </c>
      <c r="BJ54" s="417">
        <f>'Recycling - Case 1'!BW124</f>
        <v>0.68723401290869057</v>
      </c>
      <c r="BK54" s="1144">
        <f>'Recycling - Case 1'!BX124</f>
        <v>15.821756711124728</v>
      </c>
      <c r="BL54" s="1101">
        <f>'Recycling - Case 1'!BY124</f>
        <v>69.956283762597309</v>
      </c>
      <c r="BM54" s="417">
        <f>'Recycling - Case 1'!BZ124</f>
        <v>0.68723401290869057</v>
      </c>
      <c r="BN54" s="1144">
        <f>'Recycling - Case 1'!CA124</f>
        <v>15.821756711124728</v>
      </c>
      <c r="BO54" s="1102">
        <f>'Recycling - Case 2'!BV124</f>
        <v>68.82178476224756</v>
      </c>
      <c r="BP54" s="417">
        <f>'Recycling - Case 2'!BW124</f>
        <v>0.76872511996378301</v>
      </c>
      <c r="BQ54" s="1144">
        <f>'Recycling - Case 2'!BX124</f>
        <v>15.821756711124728</v>
      </c>
      <c r="BR54" s="1101">
        <f>'Recycling - Case 2'!BY124</f>
        <v>68.82178476224756</v>
      </c>
      <c r="BS54" s="417">
        <f>'Recycling - Case 2'!BZ124</f>
        <v>0.76872511996378301</v>
      </c>
      <c r="BT54" s="1144">
        <f>'Recycling - Case 2'!CA124</f>
        <v>15.821756711124728</v>
      </c>
      <c r="BU54" s="1102">
        <f>'Recycling - Case 3'!BV124</f>
        <v>68.82178476224756</v>
      </c>
      <c r="BV54" s="417">
        <f>'Recycling - Case 3'!BW124</f>
        <v>0.76872511996378301</v>
      </c>
      <c r="BW54" s="1144">
        <f>'Recycling - Case 3'!BX124</f>
        <v>15.821756711124728</v>
      </c>
      <c r="BX54" s="1101">
        <f>'Recycling - Case 3'!BY124</f>
        <v>68.82178476224756</v>
      </c>
      <c r="BY54" s="417">
        <f>'Recycling - Case 3'!BZ124</f>
        <v>0.76872511996378301</v>
      </c>
      <c r="BZ54" s="1144">
        <f>'Recycling - Case 3'!CA124</f>
        <v>15.821756711124728</v>
      </c>
      <c r="CA54" s="596">
        <v>2044</v>
      </c>
      <c r="CB54" s="649">
        <f>'Recycling - Case 1'!CB124</f>
        <v>0.40142550363638252</v>
      </c>
      <c r="CC54" s="417">
        <f>'Recycling - Case 1'!CC124</f>
        <v>0.3753458577446025</v>
      </c>
      <c r="CD54" s="417">
        <f>'Recycling - Case 1'!CD124</f>
        <v>0.40142550363638252</v>
      </c>
      <c r="CE54" s="525">
        <f>'Recycling - Case 1'!CE124</f>
        <v>0.3753458577446025</v>
      </c>
      <c r="CF54" s="649">
        <f>'Recycling - Case 2'!CB124</f>
        <v>0.36396356748329273</v>
      </c>
      <c r="CG54" s="417">
        <f>'Recycling - Case 2'!CC124</f>
        <v>0.40327840761206057</v>
      </c>
      <c r="CH54" s="417">
        <f>'Recycling - Case 2'!CD124</f>
        <v>0.36396356748329273</v>
      </c>
      <c r="CI54" s="525">
        <f>'Recycling - Case 2'!CE124</f>
        <v>0.40327840761206057</v>
      </c>
      <c r="CJ54" s="649">
        <f>'Recycling - Case 3'!CB124</f>
        <v>0.36396356748329273</v>
      </c>
      <c r="CK54" s="417">
        <f>'Recycling - Case 3'!CC124</f>
        <v>0.40327840761206057</v>
      </c>
      <c r="CL54" s="417">
        <f>'Recycling - Case 3'!CD124</f>
        <v>0.36396356748329273</v>
      </c>
      <c r="CM54" s="525">
        <f>'Recycling - Case 3'!CE124</f>
        <v>0.40327840761206057</v>
      </c>
    </row>
    <row r="55" spans="1:91">
      <c r="A55" s="4">
        <f>'Input data'!A144</f>
        <v>2044</v>
      </c>
      <c r="B55" s="4"/>
      <c r="C55" s="769">
        <f>'4A SWD Case 1'!BG114</f>
        <v>366.47759446980086</v>
      </c>
      <c r="D55" s="3">
        <f>'4B Biological treatment '!T108</f>
        <v>0.81530356940003967</v>
      </c>
      <c r="E55" s="1159">
        <f>'4B Biological treatment '!U108</f>
        <v>36.68866062300178</v>
      </c>
      <c r="F55" s="1159">
        <f>'4B Biological treatment '!W108</f>
        <v>2.2013196373801067</v>
      </c>
      <c r="G55" s="952">
        <f>'4C2 Open-burning '!R115</f>
        <v>10.474466199173415</v>
      </c>
      <c r="H55" s="952">
        <f>'4C2 Open-burning '!Z115</f>
        <v>3.5243371963365622</v>
      </c>
      <c r="I55" s="952">
        <f>'4C2 Open-burning '!AH115</f>
        <v>4.90647221926611E-2</v>
      </c>
      <c r="J55" s="987">
        <f>'4D Wastewater treatment and dis'!AV152</f>
        <v>222.36660896201545</v>
      </c>
      <c r="K55" s="770">
        <f>'4D Wastewater treatment and dis'!AW152</f>
        <v>3.6890806174447812</v>
      </c>
      <c r="L55" s="771">
        <f t="shared" si="69"/>
        <v>7696.0294838658183</v>
      </c>
      <c r="M55" s="772">
        <f t="shared" si="70"/>
        <v>17.121374957400832</v>
      </c>
      <c r="N55" s="771">
        <f t="shared" si="71"/>
        <v>1452.8709606708703</v>
      </c>
      <c r="O55" s="773">
        <f t="shared" si="72"/>
        <v>99.695611201966173</v>
      </c>
      <c r="P55" s="771">
        <f t="shared" si="73"/>
        <v>5813.3137796102064</v>
      </c>
      <c r="Q55" s="519">
        <f t="shared" si="74"/>
        <v>7696.0294838658183</v>
      </c>
      <c r="R55" s="521">
        <f t="shared" si="75"/>
        <v>1469.9923356282711</v>
      </c>
      <c r="S55" s="518">
        <f t="shared" si="76"/>
        <v>99.695611201966173</v>
      </c>
      <c r="T55" s="519">
        <f t="shared" si="77"/>
        <v>5813.3137796102064</v>
      </c>
      <c r="U55" s="519">
        <f t="shared" si="78"/>
        <v>15079.031210306264</v>
      </c>
      <c r="V55" s="3"/>
      <c r="W55" s="596">
        <f t="shared" si="79"/>
        <v>2045</v>
      </c>
      <c r="X55" s="1101">
        <f t="shared" si="80"/>
        <v>7461.2795709704451</v>
      </c>
      <c r="Y55" s="1102">
        <f t="shared" si="81"/>
        <v>1484.3629479679946</v>
      </c>
      <c r="Z55" s="1102">
        <f t="shared" si="82"/>
        <v>93.438023878041264</v>
      </c>
      <c r="AA55" s="1102">
        <f t="shared" si="83"/>
        <v>5890.622295987414</v>
      </c>
      <c r="AB55" s="1144">
        <f t="shared" si="22"/>
        <v>14929.702838803894</v>
      </c>
      <c r="AC55" s="1425" t="str">
        <f>IF(OR('Recycling - Case 1'!AC125="No",'Recycling - Case 1'!T165="No"), "No", "Yes")</f>
        <v>Yes</v>
      </c>
      <c r="AD55" s="1101">
        <f t="shared" si="84"/>
        <v>7461.2795709704451</v>
      </c>
      <c r="AE55" s="1102">
        <f t="shared" si="85"/>
        <v>1484.3629479679946</v>
      </c>
      <c r="AF55" s="1102">
        <f t="shared" si="86"/>
        <v>93.438023878041264</v>
      </c>
      <c r="AG55" s="1102">
        <f t="shared" si="87"/>
        <v>5890.622295987414</v>
      </c>
      <c r="AH55" s="1144">
        <f t="shared" si="60"/>
        <v>14929.702838803894</v>
      </c>
      <c r="AI55" s="1425" t="str">
        <f>IF(OR('Recycling - Case 1'!AI36="No",'Recycling - Case 1'!Z165="No"), "No", "Yes")</f>
        <v>Yes</v>
      </c>
      <c r="AJ55" s="1101">
        <f t="shared" si="88"/>
        <v>6510.8603995237809</v>
      </c>
      <c r="AK55" s="1102">
        <f t="shared" si="89"/>
        <v>1484.3629479679946</v>
      </c>
      <c r="AL55" s="1102">
        <f t="shared" si="90"/>
        <v>95.482978329401334</v>
      </c>
      <c r="AM55" s="1102">
        <f t="shared" si="91"/>
        <v>6096.4051040934646</v>
      </c>
      <c r="AN55" s="1144">
        <f t="shared" si="92"/>
        <v>14187.111429914643</v>
      </c>
      <c r="AO55" s="1418" t="str">
        <f>IF(OR('Recycling - Case 2'!AC125="No",'Recycling - Case 2'!T165="No"), "No", "Yes")</f>
        <v>Yes</v>
      </c>
      <c r="AP55" s="1101">
        <f t="shared" si="93"/>
        <v>6510.8603995237809</v>
      </c>
      <c r="AQ55" s="1102">
        <f t="shared" si="94"/>
        <v>1484.3629479679946</v>
      </c>
      <c r="AR55" s="1102">
        <f t="shared" si="95"/>
        <v>95.482978329401334</v>
      </c>
      <c r="AS55" s="1102">
        <f t="shared" si="96"/>
        <v>6096.4051040934646</v>
      </c>
      <c r="AT55" s="1144">
        <f t="shared" si="37"/>
        <v>14187.111429914643</v>
      </c>
      <c r="AU55" s="1425" t="str">
        <f>IF(OR('Recycling - Case 2'!AC125="No",'Recycling - Case 2'!T205="No"), "No", "Yes")</f>
        <v>Yes</v>
      </c>
      <c r="AV55" s="1101">
        <f t="shared" si="63"/>
        <v>6512.3049524962253</v>
      </c>
      <c r="AW55" s="1102">
        <f t="shared" si="64"/>
        <v>901.48498503879875</v>
      </c>
      <c r="AX55" s="1102">
        <f t="shared" si="65"/>
        <v>95.482978329401334</v>
      </c>
      <c r="AY55" s="1102">
        <f t="shared" si="66"/>
        <v>6096.4051040934646</v>
      </c>
      <c r="AZ55" s="1144">
        <f t="shared" si="67"/>
        <v>13605.67801995789</v>
      </c>
      <c r="BA55" s="1425" t="str">
        <f>IF(OR('Recycling - Case 3'!AC125="No",'Recycling - Case 3'!T165="No"), "No", "Yes")</f>
        <v>Yes</v>
      </c>
      <c r="BB55" s="1101">
        <f t="shared" si="97"/>
        <v>6512.3049524962253</v>
      </c>
      <c r="BC55" s="1102">
        <f t="shared" si="98"/>
        <v>901.48498503879875</v>
      </c>
      <c r="BD55" s="1102">
        <f t="shared" si="99"/>
        <v>95.482978329401334</v>
      </c>
      <c r="BE55" s="1102">
        <f t="shared" si="100"/>
        <v>6096.4051040934646</v>
      </c>
      <c r="BF55" s="1144">
        <f t="shared" si="47"/>
        <v>13605.67801995789</v>
      </c>
      <c r="BG55" s="1425" t="str">
        <f>IF(OR('Recycling - Case 3'!AC125="No",'Recycling - Case 3'!T205="No"), "No", "Yes")</f>
        <v>Yes</v>
      </c>
      <c r="BH55" s="596">
        <f t="shared" si="48"/>
        <v>2045</v>
      </c>
      <c r="BI55" s="1102">
        <f>'Recycling - Case 1'!BV125</f>
        <v>69.426542820310033</v>
      </c>
      <c r="BJ55" s="417">
        <f>'Recycling - Case 1'!BW125</f>
        <v>0.7022669779267493</v>
      </c>
      <c r="BK55" s="1144">
        <f>'Recycling - Case 1'!BX125</f>
        <v>14.540775773528345</v>
      </c>
      <c r="BL55" s="1101">
        <f>'Recycling - Case 1'!BY125</f>
        <v>69.426542820310033</v>
      </c>
      <c r="BM55" s="417">
        <f>'Recycling - Case 1'!BZ125</f>
        <v>0.7022669779267493</v>
      </c>
      <c r="BN55" s="1144">
        <f>'Recycling - Case 1'!CA125</f>
        <v>14.540775773528345</v>
      </c>
      <c r="BO55" s="1102">
        <f>'Recycling - Case 2'!BV125</f>
        <v>69.310843311365758</v>
      </c>
      <c r="BP55" s="417">
        <f>'Recycling - Case 2'!BW125</f>
        <v>0.7703569996506292</v>
      </c>
      <c r="BQ55" s="1144">
        <f>'Recycling - Case 2'!BX125</f>
        <v>14.540775773528345</v>
      </c>
      <c r="BR55" s="1101">
        <f>'Recycling - Case 2'!BY125</f>
        <v>69.310843311365758</v>
      </c>
      <c r="BS55" s="417">
        <f>'Recycling - Case 2'!BZ125</f>
        <v>0.7703569996506292</v>
      </c>
      <c r="BT55" s="1144">
        <f>'Recycling - Case 2'!CA125</f>
        <v>14.540775773528345</v>
      </c>
      <c r="BU55" s="1102">
        <f>'Recycling - Case 3'!BV125</f>
        <v>69.310843311365758</v>
      </c>
      <c r="BV55" s="417">
        <f>'Recycling - Case 3'!BW125</f>
        <v>0.7703569996506292</v>
      </c>
      <c r="BW55" s="1144">
        <f>'Recycling - Case 3'!BX125</f>
        <v>14.540775773528345</v>
      </c>
      <c r="BX55" s="1101">
        <f>'Recycling - Case 3'!BY125</f>
        <v>69.310843311365758</v>
      </c>
      <c r="BY55" s="417">
        <f>'Recycling - Case 3'!BZ125</f>
        <v>0.7703569996506292</v>
      </c>
      <c r="BZ55" s="1144">
        <f>'Recycling - Case 3'!CA125</f>
        <v>14.540775773528345</v>
      </c>
      <c r="CA55" s="596">
        <v>2045</v>
      </c>
      <c r="CB55" s="649">
        <f>'Recycling - Case 1'!CB125</f>
        <v>0.41059861471993231</v>
      </c>
      <c r="CC55" s="417">
        <f>'Recycling - Case 1'!CC125</f>
        <v>0.38659728678106653</v>
      </c>
      <c r="CD55" s="417">
        <f>'Recycling - Case 1'!CD125</f>
        <v>0.41059861471993231</v>
      </c>
      <c r="CE55" s="525">
        <f>'Recycling - Case 1'!CE125</f>
        <v>0.38659728678106653</v>
      </c>
      <c r="CF55" s="649">
        <f>'Recycling - Case 2'!CB125</f>
        <v>0.36591534586874086</v>
      </c>
      <c r="CG55" s="417">
        <f>'Recycling - Case 2'!CC125</f>
        <v>0.40476896254699657</v>
      </c>
      <c r="CH55" s="417">
        <f>'Recycling - Case 2'!CD125</f>
        <v>0.36591534586874086</v>
      </c>
      <c r="CI55" s="525">
        <f>'Recycling - Case 2'!CE125</f>
        <v>0.40476896254699657</v>
      </c>
      <c r="CJ55" s="649">
        <f>'Recycling - Case 3'!CB125</f>
        <v>0.36591534586874086</v>
      </c>
      <c r="CK55" s="417">
        <f>'Recycling - Case 3'!CC125</f>
        <v>0.40476896254699657</v>
      </c>
      <c r="CL55" s="417">
        <f>'Recycling - Case 3'!CD125</f>
        <v>0.36591534586874086</v>
      </c>
      <c r="CM55" s="525">
        <f>'Recycling - Case 3'!CE125</f>
        <v>0.40476896254699657</v>
      </c>
    </row>
    <row r="56" spans="1:91">
      <c r="A56" s="4">
        <f>'Input data'!A145</f>
        <v>2045</v>
      </c>
      <c r="B56" s="4"/>
      <c r="C56" s="769">
        <f>'4A SWD Case 1'!BG115</f>
        <v>355.29902718906879</v>
      </c>
      <c r="D56" s="3">
        <f>'4B Biological treatment '!T109</f>
        <v>0.82327395893954247</v>
      </c>
      <c r="E56" s="1159">
        <f>'4B Biological treatment '!U109</f>
        <v>37.047328152279405</v>
      </c>
      <c r="F56" s="1159">
        <f>'4B Biological treatment '!W109</f>
        <v>2.2228396891367641</v>
      </c>
      <c r="G56" s="952">
        <f>'4C2 Open-burning '!R116</f>
        <v>9.8170161256687258</v>
      </c>
      <c r="H56" s="952">
        <f>'4C2 Open-burning '!Z116</f>
        <v>3.3031253746811897</v>
      </c>
      <c r="I56" s="952">
        <f>'4C2 Open-burning '!AH116</f>
        <v>4.5985080271185648E-2</v>
      </c>
      <c r="J56" s="987">
        <f>'4D Wastewater treatment and dis'!AV153</f>
        <v>225.70930325029914</v>
      </c>
      <c r="K56" s="770">
        <f>'4D Wastewater treatment and dis'!AW153</f>
        <v>3.7120223475197802</v>
      </c>
      <c r="L56" s="771">
        <f t="shared" si="69"/>
        <v>7461.2795709704451</v>
      </c>
      <c r="M56" s="772">
        <f t="shared" si="70"/>
        <v>17.288753137730392</v>
      </c>
      <c r="N56" s="771">
        <f t="shared" si="71"/>
        <v>1467.0741948302643</v>
      </c>
      <c r="O56" s="773">
        <f t="shared" si="72"/>
        <v>93.438023878041264</v>
      </c>
      <c r="P56" s="771">
        <f t="shared" si="73"/>
        <v>5890.622295987414</v>
      </c>
      <c r="Q56" s="519">
        <f t="shared" si="74"/>
        <v>7461.2795709704451</v>
      </c>
      <c r="R56" s="521">
        <f t="shared" si="75"/>
        <v>1484.3629479679946</v>
      </c>
      <c r="S56" s="518">
        <f t="shared" si="76"/>
        <v>93.438023878041264</v>
      </c>
      <c r="T56" s="519">
        <f t="shared" si="77"/>
        <v>5890.622295987414</v>
      </c>
      <c r="U56" s="519">
        <f t="shared" si="78"/>
        <v>14929.702838803894</v>
      </c>
      <c r="V56" s="3"/>
      <c r="W56" s="596">
        <f t="shared" si="79"/>
        <v>2046</v>
      </c>
      <c r="X56" s="1101">
        <f t="shared" si="80"/>
        <v>7233.4157689644253</v>
      </c>
      <c r="Y56" s="1102">
        <f t="shared" si="81"/>
        <v>1499.4441390239658</v>
      </c>
      <c r="Z56" s="1102">
        <f t="shared" si="82"/>
        <v>87.227445785625591</v>
      </c>
      <c r="AA56" s="1102">
        <f t="shared" si="83"/>
        <v>5961.9937050903318</v>
      </c>
      <c r="AB56" s="1144">
        <f t="shared" si="22"/>
        <v>14782.081058864349</v>
      </c>
      <c r="AC56" s="1425" t="str">
        <f>IF(OR('Recycling - Case 1'!AC126="No",'Recycling - Case 1'!T166="No"), "No", "Yes")</f>
        <v>Yes</v>
      </c>
      <c r="AD56" s="1101">
        <f t="shared" si="84"/>
        <v>7233.4157689644253</v>
      </c>
      <c r="AE56" s="1102">
        <f t="shared" si="85"/>
        <v>1499.4441390239658</v>
      </c>
      <c r="AF56" s="1102">
        <f t="shared" si="86"/>
        <v>87.227445785625591</v>
      </c>
      <c r="AG56" s="1102">
        <f t="shared" si="87"/>
        <v>5961.9937050903318</v>
      </c>
      <c r="AH56" s="1144">
        <f t="shared" si="60"/>
        <v>14782.081058864349</v>
      </c>
      <c r="AI56" s="1425" t="str">
        <f>IF(OR('Recycling - Case 1'!AI37="No",'Recycling - Case 1'!Z166="No"), "No", "Yes")</f>
        <v>Yes</v>
      </c>
      <c r="AJ56" s="1101">
        <f t="shared" si="88"/>
        <v>6316.805781404646</v>
      </c>
      <c r="AK56" s="1102">
        <f t="shared" si="89"/>
        <v>1499.4441390239658</v>
      </c>
      <c r="AL56" s="1102">
        <f t="shared" si="90"/>
        <v>95.3329717226393</v>
      </c>
      <c r="AM56" s="1102">
        <f t="shared" si="91"/>
        <v>6127.4585123254001</v>
      </c>
      <c r="AN56" s="1144">
        <f t="shared" si="92"/>
        <v>14039.041404476651</v>
      </c>
      <c r="AO56" s="1418" t="str">
        <f>IF(OR('Recycling - Case 2'!AC126="No",'Recycling - Case 2'!T166="No"), "No", "Yes")</f>
        <v>Yes</v>
      </c>
      <c r="AP56" s="1101">
        <f t="shared" si="93"/>
        <v>6316.805781404646</v>
      </c>
      <c r="AQ56" s="1102">
        <f t="shared" si="94"/>
        <v>1499.4441390239658</v>
      </c>
      <c r="AR56" s="1102">
        <f t="shared" si="95"/>
        <v>95.3329717226393</v>
      </c>
      <c r="AS56" s="1102">
        <f t="shared" si="96"/>
        <v>6127.4585123254001</v>
      </c>
      <c r="AT56" s="1144">
        <f t="shared" si="37"/>
        <v>14039.041404476651</v>
      </c>
      <c r="AU56" s="1425" t="str">
        <f>IF(OR('Recycling - Case 2'!AC126="No",'Recycling - Case 2'!T206="No"), "No", "Yes")</f>
        <v>Yes</v>
      </c>
      <c r="AV56" s="1101">
        <f t="shared" si="63"/>
        <v>6318.2925108608297</v>
      </c>
      <c r="AW56" s="1102">
        <f t="shared" si="64"/>
        <v>910.64411105448835</v>
      </c>
      <c r="AX56" s="1102">
        <f t="shared" si="65"/>
        <v>95.3329717226393</v>
      </c>
      <c r="AY56" s="1102">
        <f t="shared" si="66"/>
        <v>6127.4585123254001</v>
      </c>
      <c r="AZ56" s="1144">
        <f t="shared" si="67"/>
        <v>13451.728105963357</v>
      </c>
      <c r="BA56" s="1425" t="str">
        <f>IF(OR('Recycling - Case 3'!AC126="No",'Recycling - Case 3'!T166="No"), "No", "Yes")</f>
        <v>Yes</v>
      </c>
      <c r="BB56" s="1101">
        <f t="shared" si="97"/>
        <v>6318.2925108608297</v>
      </c>
      <c r="BC56" s="1102">
        <f t="shared" si="98"/>
        <v>910.64411105448835</v>
      </c>
      <c r="BD56" s="1102">
        <f t="shared" si="99"/>
        <v>95.3329717226393</v>
      </c>
      <c r="BE56" s="1102">
        <f t="shared" si="100"/>
        <v>6127.4585123254001</v>
      </c>
      <c r="BF56" s="1144">
        <f t="shared" si="47"/>
        <v>13451.728105963357</v>
      </c>
      <c r="BG56" s="1425" t="str">
        <f>IF(OR('Recycling - Case 3'!AC126="No",'Recycling - Case 3'!T206="No"), "No", "Yes")</f>
        <v>Yes</v>
      </c>
      <c r="BH56" s="596">
        <f t="shared" si="48"/>
        <v>2046</v>
      </c>
      <c r="BI56" s="1102">
        <f>'Recycling - Case 1'!BV126</f>
        <v>68.991107812155235</v>
      </c>
      <c r="BJ56" s="417">
        <f>'Recycling - Case 1'!BW126</f>
        <v>0.71709507005342354</v>
      </c>
      <c r="BK56" s="1144">
        <f>'Recycling - Case 1'!BX126</f>
        <v>13.259794835931967</v>
      </c>
      <c r="BL56" s="1101">
        <f>'Recycling - Case 1'!BY126</f>
        <v>68.991107812155235</v>
      </c>
      <c r="BM56" s="417">
        <f>'Recycling - Case 1'!BZ126</f>
        <v>0.71709507005342354</v>
      </c>
      <c r="BN56" s="1144">
        <f>'Recycling - Case 1'!CA126</f>
        <v>13.259794835931967</v>
      </c>
      <c r="BO56" s="1102">
        <f>'Recycling - Case 2'!BV126</f>
        <v>69.835514728969443</v>
      </c>
      <c r="BP56" s="417">
        <f>'Recycling - Case 2'!BW126</f>
        <v>0.77208229828991981</v>
      </c>
      <c r="BQ56" s="1144">
        <f>'Recycling - Case 2'!BX126</f>
        <v>13.259794835931967</v>
      </c>
      <c r="BR56" s="1101">
        <f>'Recycling - Case 2'!BY126</f>
        <v>69.835514728969443</v>
      </c>
      <c r="BS56" s="417">
        <f>'Recycling - Case 2'!BZ126</f>
        <v>0.77208229828991981</v>
      </c>
      <c r="BT56" s="1144">
        <f>'Recycling - Case 2'!CA126</f>
        <v>13.259794835931967</v>
      </c>
      <c r="BU56" s="1102">
        <f>'Recycling - Case 3'!BV126</f>
        <v>69.835514728969443</v>
      </c>
      <c r="BV56" s="417">
        <f>'Recycling - Case 3'!BW126</f>
        <v>0.77208229828991981</v>
      </c>
      <c r="BW56" s="1144">
        <f>'Recycling - Case 3'!BX126</f>
        <v>13.259794835931967</v>
      </c>
      <c r="BX56" s="1101">
        <f>'Recycling - Case 3'!BY126</f>
        <v>69.835514728969443</v>
      </c>
      <c r="BY56" s="417">
        <f>'Recycling - Case 3'!BZ126</f>
        <v>0.77208229828991981</v>
      </c>
      <c r="BZ56" s="1144">
        <f>'Recycling - Case 3'!CA126</f>
        <v>13.259794835931967</v>
      </c>
      <c r="CA56" s="596">
        <v>2046</v>
      </c>
      <c r="CB56" s="649">
        <f>'Recycling - Case 1'!CB126</f>
        <v>0.41931438440175495</v>
      </c>
      <c r="CC56" s="417">
        <f>'Recycling - Case 1'!CC126</f>
        <v>0.39715603213077078</v>
      </c>
      <c r="CD56" s="417">
        <f>'Recycling - Case 1'!CD126</f>
        <v>0.41931438440175495</v>
      </c>
      <c r="CE56" s="525">
        <f>'Recycling - Case 1'!CE126</f>
        <v>0.39715603213077078</v>
      </c>
      <c r="CF56" s="649">
        <f>'Recycling - Case 2'!CB126</f>
        <v>0.36750526556588536</v>
      </c>
      <c r="CG56" s="417">
        <f>'Recycling - Case 2'!CC126</f>
        <v>0.40644373321612515</v>
      </c>
      <c r="CH56" s="417">
        <f>'Recycling - Case 2'!CD126</f>
        <v>0.36750526556588536</v>
      </c>
      <c r="CI56" s="525">
        <f>'Recycling - Case 2'!CE126</f>
        <v>0.40644373321612515</v>
      </c>
      <c r="CJ56" s="649">
        <f>'Recycling - Case 3'!CB126</f>
        <v>0.36750526556588536</v>
      </c>
      <c r="CK56" s="417">
        <f>'Recycling - Case 3'!CC126</f>
        <v>0.40644373321612515</v>
      </c>
      <c r="CL56" s="417">
        <f>'Recycling - Case 3'!CD126</f>
        <v>0.36750526556588536</v>
      </c>
      <c r="CM56" s="525">
        <f>'Recycling - Case 3'!CE126</f>
        <v>0.40644373321612515</v>
      </c>
    </row>
    <row r="57" spans="1:91">
      <c r="A57" s="4">
        <f>'Input data'!A146</f>
        <v>2046</v>
      </c>
      <c r="B57" s="4"/>
      <c r="C57" s="769">
        <f>'4A SWD Case 1'!BG116</f>
        <v>344.44836995068692</v>
      </c>
      <c r="D57" s="3">
        <f>'4B Biological treatment '!T110</f>
        <v>0.83163845758400778</v>
      </c>
      <c r="E57" s="1159">
        <f>'4B Biological treatment '!U110</f>
        <v>37.423730591280346</v>
      </c>
      <c r="F57" s="1159">
        <f>'4B Biological treatment '!W110</f>
        <v>2.2454238354768203</v>
      </c>
      <c r="G57" s="952">
        <f>'4C2 Open-burning '!R117</f>
        <v>9.1645050519911742</v>
      </c>
      <c r="H57" s="952">
        <f>'4C2 Open-burning '!Z117</f>
        <v>3.0835753752583281</v>
      </c>
      <c r="I57" s="952">
        <f>'4C2 Open-burning '!AH117</f>
        <v>4.2928573720030741E-2</v>
      </c>
      <c r="J57" s="987">
        <f>'4D Wastewater treatment and dis'!AV154</f>
        <v>228.82882339897614</v>
      </c>
      <c r="K57" s="770">
        <f>'4D Wastewater treatment and dis'!AW154</f>
        <v>3.7309303668123635</v>
      </c>
      <c r="L57" s="771">
        <f t="shared" si="69"/>
        <v>7233.4157689644253</v>
      </c>
      <c r="M57" s="772">
        <f t="shared" si="70"/>
        <v>17.464407609264164</v>
      </c>
      <c r="N57" s="771">
        <f t="shared" si="71"/>
        <v>1481.9797314147017</v>
      </c>
      <c r="O57" s="773">
        <f t="shared" si="72"/>
        <v>87.227445785625591</v>
      </c>
      <c r="P57" s="771">
        <f t="shared" si="73"/>
        <v>5961.9937050903318</v>
      </c>
      <c r="Q57" s="519">
        <f t="shared" si="74"/>
        <v>7233.4157689644253</v>
      </c>
      <c r="R57" s="521">
        <f t="shared" si="75"/>
        <v>1499.4441390239658</v>
      </c>
      <c r="S57" s="518">
        <f t="shared" si="76"/>
        <v>87.227445785625591</v>
      </c>
      <c r="T57" s="519">
        <f t="shared" si="77"/>
        <v>5961.9937050903318</v>
      </c>
      <c r="U57" s="519">
        <f t="shared" si="78"/>
        <v>14782.081058864349</v>
      </c>
      <c r="V57" s="3"/>
      <c r="W57" s="596">
        <f t="shared" si="79"/>
        <v>2047</v>
      </c>
      <c r="X57" s="1101">
        <f t="shared" si="80"/>
        <v>7012.2557813280191</v>
      </c>
      <c r="Y57" s="1102">
        <f t="shared" si="81"/>
        <v>1515.2453100581411</v>
      </c>
      <c r="Z57" s="1102">
        <f t="shared" si="82"/>
        <v>81.033693361122204</v>
      </c>
      <c r="AA57" s="1102">
        <f t="shared" si="83"/>
        <v>6034.0277904697159</v>
      </c>
      <c r="AB57" s="1144">
        <f t="shared" si="22"/>
        <v>14642.562575216998</v>
      </c>
      <c r="AC57" s="1425" t="str">
        <f>IF(OR('Recycling - Case 1'!AC127="No",'Recycling - Case 1'!T167="No"), "No", "Yes")</f>
        <v>Yes</v>
      </c>
      <c r="AD57" s="1101">
        <f t="shared" si="84"/>
        <v>7012.2557813280191</v>
      </c>
      <c r="AE57" s="1102">
        <f t="shared" si="85"/>
        <v>1515.2453100581411</v>
      </c>
      <c r="AF57" s="1102">
        <f t="shared" si="86"/>
        <v>81.033693361122204</v>
      </c>
      <c r="AG57" s="1102">
        <f t="shared" si="87"/>
        <v>6034.0277904697159</v>
      </c>
      <c r="AH57" s="1144">
        <f t="shared" si="60"/>
        <v>14642.562575216998</v>
      </c>
      <c r="AI57" s="1425" t="str">
        <f>IF(OR('Recycling - Case 1'!AI38="No",'Recycling - Case 1'!Z167="No"), "No", "Yes")</f>
        <v>Yes</v>
      </c>
      <c r="AJ57" s="1101">
        <f t="shared" si="88"/>
        <v>6136.5730929471565</v>
      </c>
      <c r="AK57" s="1102">
        <f t="shared" si="89"/>
        <v>1515.2453100581411</v>
      </c>
      <c r="AL57" s="1102">
        <f t="shared" si="90"/>
        <v>95.183765012554304</v>
      </c>
      <c r="AM57" s="1102">
        <f t="shared" si="91"/>
        <v>6158.7603478231922</v>
      </c>
      <c r="AN57" s="1144">
        <f t="shared" si="92"/>
        <v>13905.762515841045</v>
      </c>
      <c r="AO57" s="1418" t="str">
        <f>IF(OR('Recycling - Case 2'!AC127="No",'Recycling - Case 2'!T167="No"), "No", "Yes")</f>
        <v>Yes</v>
      </c>
      <c r="AP57" s="1101">
        <f t="shared" si="93"/>
        <v>6136.5730929471565</v>
      </c>
      <c r="AQ57" s="1102">
        <f t="shared" si="94"/>
        <v>1515.2453100581411</v>
      </c>
      <c r="AR57" s="1102">
        <f t="shared" si="95"/>
        <v>95.183765012554304</v>
      </c>
      <c r="AS57" s="1102">
        <f t="shared" si="96"/>
        <v>6158.7603478231922</v>
      </c>
      <c r="AT57" s="1144">
        <f t="shared" si="37"/>
        <v>13905.762515841045</v>
      </c>
      <c r="AU57" s="1425" t="str">
        <f>IF(OR('Recycling - Case 2'!AC127="No",'Recycling - Case 2'!T207="No"), "No", "Yes")</f>
        <v>Yes</v>
      </c>
      <c r="AV57" s="1101">
        <f t="shared" si="63"/>
        <v>6138.1001860608512</v>
      </c>
      <c r="AW57" s="1102">
        <f t="shared" si="64"/>
        <v>920.24049612516069</v>
      </c>
      <c r="AX57" s="1102">
        <f t="shared" si="65"/>
        <v>95.183765012554304</v>
      </c>
      <c r="AY57" s="1102">
        <f t="shared" si="66"/>
        <v>6158.7603478231922</v>
      </c>
      <c r="AZ57" s="1144">
        <f t="shared" si="67"/>
        <v>13312.284795021758</v>
      </c>
      <c r="BA57" s="1425" t="str">
        <f>IF(OR('Recycling - Case 3'!AC127="No",'Recycling - Case 3'!T167="No"), "No", "Yes")</f>
        <v>Yes</v>
      </c>
      <c r="BB57" s="1101">
        <f t="shared" si="97"/>
        <v>6138.1001860608512</v>
      </c>
      <c r="BC57" s="1102">
        <f t="shared" si="98"/>
        <v>920.24049612516069</v>
      </c>
      <c r="BD57" s="1102">
        <f t="shared" si="99"/>
        <v>95.183765012554304</v>
      </c>
      <c r="BE57" s="1102">
        <f t="shared" si="100"/>
        <v>6158.7603478231922</v>
      </c>
      <c r="BF57" s="1144">
        <f t="shared" si="47"/>
        <v>13312.284795021758</v>
      </c>
      <c r="BG57" s="1425" t="str">
        <f>IF(OR('Recycling - Case 3'!AC127="No",'Recycling - Case 3'!T207="No"), "No", "Yes")</f>
        <v>Yes</v>
      </c>
      <c r="BH57" s="596">
        <f t="shared" si="48"/>
        <v>2047</v>
      </c>
      <c r="BI57" s="1102">
        <f>'Recycling - Case 1'!BV127</f>
        <v>68.656885417861446</v>
      </c>
      <c r="BJ57" s="417">
        <f>'Recycling - Case 1'!BW127</f>
        <v>0.73172524035672504</v>
      </c>
      <c r="BK57" s="1144">
        <f>'Recycling - Case 1'!BX127</f>
        <v>11.978813898335586</v>
      </c>
      <c r="BL57" s="1101">
        <f>'Recycling - Case 1'!BY127</f>
        <v>68.656885417861446</v>
      </c>
      <c r="BM57" s="417">
        <f>'Recycling - Case 1'!BZ127</f>
        <v>0.73172524035672504</v>
      </c>
      <c r="BN57" s="1144">
        <f>'Recycling - Case 1'!CA127</f>
        <v>11.978813898335586</v>
      </c>
      <c r="BO57" s="1102">
        <f>'Recycling - Case 2'!BV127</f>
        <v>70.407688443503332</v>
      </c>
      <c r="BP57" s="417">
        <f>'Recycling - Case 2'!BW127</f>
        <v>0.77393448973205392</v>
      </c>
      <c r="BQ57" s="1144">
        <f>'Recycling - Case 2'!BX127</f>
        <v>11.978813898335586</v>
      </c>
      <c r="BR57" s="1101">
        <f>'Recycling - Case 2'!BY127</f>
        <v>70.407688443503332</v>
      </c>
      <c r="BS57" s="417">
        <f>'Recycling - Case 2'!BZ127</f>
        <v>0.77393448973205392</v>
      </c>
      <c r="BT57" s="1144">
        <f>'Recycling - Case 2'!CA127</f>
        <v>11.978813898335586</v>
      </c>
      <c r="BU57" s="1102">
        <f>'Recycling - Case 3'!BV127</f>
        <v>70.407688443503332</v>
      </c>
      <c r="BV57" s="417">
        <f>'Recycling - Case 3'!BW127</f>
        <v>0.77393448973205392</v>
      </c>
      <c r="BW57" s="1144">
        <f>'Recycling - Case 3'!BX127</f>
        <v>11.978813898335586</v>
      </c>
      <c r="BX57" s="1101">
        <f>'Recycling - Case 3'!BY127</f>
        <v>70.407688443503332</v>
      </c>
      <c r="BY57" s="417">
        <f>'Recycling - Case 3'!BZ127</f>
        <v>0.77393448973205392</v>
      </c>
      <c r="BZ57" s="1144">
        <f>'Recycling - Case 3'!CA127</f>
        <v>11.978813898335586</v>
      </c>
      <c r="CA57" s="596">
        <v>2047</v>
      </c>
      <c r="CB57" s="649">
        <f>'Recycling - Case 1'!CB127</f>
        <v>0.42794944279508085</v>
      </c>
      <c r="CC57" s="417">
        <f>'Recycling - Case 1'!CC127</f>
        <v>0.40704576805013837</v>
      </c>
      <c r="CD57" s="417">
        <f>'Recycling - Case 1'!CD127</f>
        <v>0.42794944279508085</v>
      </c>
      <c r="CE57" s="525">
        <f>'Recycling - Case 1'!CE127</f>
        <v>0.40704576805013837</v>
      </c>
      <c r="CF57" s="649">
        <f>'Recycling - Case 2'!CB127</f>
        <v>0.36909110395378564</v>
      </c>
      <c r="CG57" s="417">
        <f>'Recycling - Case 2'!CC127</f>
        <v>0.40829241148702333</v>
      </c>
      <c r="CH57" s="417">
        <f>'Recycling - Case 2'!CD127</f>
        <v>0.36909110395378564</v>
      </c>
      <c r="CI57" s="525">
        <f>'Recycling - Case 2'!CE127</f>
        <v>0.40829241148702333</v>
      </c>
      <c r="CJ57" s="649">
        <f>'Recycling - Case 3'!CB127</f>
        <v>0.36909110395378564</v>
      </c>
      <c r="CK57" s="417">
        <f>'Recycling - Case 3'!CC127</f>
        <v>0.40829241148702333</v>
      </c>
      <c r="CL57" s="417">
        <f>'Recycling - Case 3'!CD127</f>
        <v>0.36909110395378564</v>
      </c>
      <c r="CM57" s="525">
        <f>'Recycling - Case 3'!CE127</f>
        <v>0.40829241148702333</v>
      </c>
    </row>
    <row r="58" spans="1:91">
      <c r="A58" s="4">
        <f>'Input data'!A147</f>
        <v>2047</v>
      </c>
      <c r="B58" s="4"/>
      <c r="C58" s="769">
        <f>'4A SWD Case 1'!BG117</f>
        <v>333.91694196800091</v>
      </c>
      <c r="D58" s="3">
        <f>'4B Biological treatment '!T111</f>
        <v>0.84040227956635705</v>
      </c>
      <c r="E58" s="1159">
        <f>'4B Biological treatment '!U111</f>
        <v>37.818102580486055</v>
      </c>
      <c r="F58" s="1159">
        <f>'4B Biological treatment '!W111</f>
        <v>2.269086154829163</v>
      </c>
      <c r="G58" s="952">
        <f>'4C2 Open-burning '!R118</f>
        <v>8.5137617581356313</v>
      </c>
      <c r="H58" s="952">
        <f>'4C2 Open-burning '!Z118</f>
        <v>2.8646201796243345</v>
      </c>
      <c r="I58" s="952">
        <f>'4C2 Open-burning '!AH118</f>
        <v>3.9880347841534033E-2</v>
      </c>
      <c r="J58" s="987">
        <f>'4D Wastewater treatment and dis'!AV155</f>
        <v>231.97766661377796</v>
      </c>
      <c r="K58" s="770">
        <f>'4D Wastewater treatment and dis'!AW155</f>
        <v>3.7499896502592862</v>
      </c>
      <c r="L58" s="771">
        <f t="shared" si="69"/>
        <v>7012.2557813280191</v>
      </c>
      <c r="M58" s="772">
        <f t="shared" si="70"/>
        <v>17.648447870893499</v>
      </c>
      <c r="N58" s="771">
        <f t="shared" si="71"/>
        <v>1497.5968621872476</v>
      </c>
      <c r="O58" s="773">
        <f t="shared" si="72"/>
        <v>81.033693361122204</v>
      </c>
      <c r="P58" s="771">
        <f t="shared" si="73"/>
        <v>6034.0277904697159</v>
      </c>
      <c r="Q58" s="519">
        <f t="shared" si="74"/>
        <v>7012.2557813280191</v>
      </c>
      <c r="R58" s="521">
        <f t="shared" si="75"/>
        <v>1515.2453100581411</v>
      </c>
      <c r="S58" s="518">
        <f t="shared" si="76"/>
        <v>81.033693361122204</v>
      </c>
      <c r="T58" s="519">
        <f t="shared" si="77"/>
        <v>6034.0277904697159</v>
      </c>
      <c r="U58" s="519">
        <f t="shared" si="78"/>
        <v>14642.562575216998</v>
      </c>
      <c r="V58" s="3"/>
      <c r="W58" s="596">
        <f t="shared" si="79"/>
        <v>2048</v>
      </c>
      <c r="X58" s="1101">
        <f t="shared" si="80"/>
        <v>6797.6571960924593</v>
      </c>
      <c r="Y58" s="1102">
        <f t="shared" si="81"/>
        <v>1531.2282388234853</v>
      </c>
      <c r="Z58" s="1102">
        <f t="shared" si="82"/>
        <v>80.926392377558713</v>
      </c>
      <c r="AA58" s="1102">
        <f t="shared" si="83"/>
        <v>6106.6478924824532</v>
      </c>
      <c r="AB58" s="1144">
        <f t="shared" si="22"/>
        <v>14516.459719775956</v>
      </c>
      <c r="AC58" s="1425" t="str">
        <f>IF(OR('Recycling - Case 1'!AC128="No",'Recycling - Case 1'!T168="No"), "No", "Yes")</f>
        <v>Yes</v>
      </c>
      <c r="AD58" s="1101">
        <f t="shared" si="84"/>
        <v>6797.6571960924593</v>
      </c>
      <c r="AE58" s="1102">
        <f t="shared" si="85"/>
        <v>1531.2282388234853</v>
      </c>
      <c r="AF58" s="1102">
        <f t="shared" si="86"/>
        <v>80.926392377558713</v>
      </c>
      <c r="AG58" s="1102">
        <f t="shared" si="87"/>
        <v>6106.6478924824532</v>
      </c>
      <c r="AH58" s="1144">
        <f t="shared" si="60"/>
        <v>14516.459719775956</v>
      </c>
      <c r="AI58" s="1425" t="str">
        <f>IF(OR('Recycling - Case 1'!AI39="No",'Recycling - Case 1'!Z168="No"), "No", "Yes")</f>
        <v>Yes</v>
      </c>
      <c r="AJ58" s="1101">
        <f t="shared" si="88"/>
        <v>5969.5716942758108</v>
      </c>
      <c r="AK58" s="1102">
        <f t="shared" si="89"/>
        <v>1531.2282388234853</v>
      </c>
      <c r="AL58" s="1102">
        <f t="shared" si="90"/>
        <v>95.035752719436886</v>
      </c>
      <c r="AM58" s="1102">
        <f t="shared" si="91"/>
        <v>6190.2278014982176</v>
      </c>
      <c r="AN58" s="1144">
        <f t="shared" si="92"/>
        <v>13786.063487316951</v>
      </c>
      <c r="AO58" s="1418" t="str">
        <f>IF(OR('Recycling - Case 2'!AC128="No",'Recycling - Case 2'!T168="No"), "No", "Yes")</f>
        <v>Yes</v>
      </c>
      <c r="AP58" s="1101">
        <f t="shared" si="93"/>
        <v>5969.5716942758108</v>
      </c>
      <c r="AQ58" s="1102">
        <f t="shared" si="94"/>
        <v>1531.2282388234853</v>
      </c>
      <c r="AR58" s="1102">
        <f t="shared" si="95"/>
        <v>95.035752719436886</v>
      </c>
      <c r="AS58" s="1102">
        <f t="shared" si="96"/>
        <v>6190.2278014982176</v>
      </c>
      <c r="AT58" s="1144">
        <f t="shared" si="37"/>
        <v>13786.063487316951</v>
      </c>
      <c r="AU58" s="1425" t="str">
        <f>IF(OR('Recycling - Case 2'!AC128="No",'Recycling - Case 2'!T208="No"), "No", "Yes")</f>
        <v>Yes</v>
      </c>
      <c r="AV58" s="1101">
        <f t="shared" si="63"/>
        <v>5971.1374489382961</v>
      </c>
      <c r="AW58" s="1102">
        <f t="shared" si="64"/>
        <v>929.94726650677546</v>
      </c>
      <c r="AX58" s="1102">
        <f t="shared" si="65"/>
        <v>95.035752719436886</v>
      </c>
      <c r="AY58" s="1102">
        <f t="shared" si="66"/>
        <v>6190.2278014982176</v>
      </c>
      <c r="AZ58" s="1144">
        <f t="shared" si="67"/>
        <v>13186.348269662725</v>
      </c>
      <c r="BA58" s="1425" t="str">
        <f>IF(OR('Recycling - Case 3'!AC128="No",'Recycling - Case 3'!T168="No"), "No", "Yes")</f>
        <v>Yes</v>
      </c>
      <c r="BB58" s="1101">
        <f t="shared" si="97"/>
        <v>5971.1374489382961</v>
      </c>
      <c r="BC58" s="1102">
        <f t="shared" si="98"/>
        <v>929.94726650677546</v>
      </c>
      <c r="BD58" s="1102">
        <f t="shared" si="99"/>
        <v>95.035752719436886</v>
      </c>
      <c r="BE58" s="1102">
        <f t="shared" si="100"/>
        <v>6190.2278014982176</v>
      </c>
      <c r="BF58" s="1144">
        <f t="shared" si="47"/>
        <v>13186.348269662725</v>
      </c>
      <c r="BG58" s="1425" t="str">
        <f>IF(OR('Recycling - Case 3'!AC128="No",'Recycling - Case 3'!T208="No"), "No", "Yes")</f>
        <v>Yes</v>
      </c>
      <c r="BH58" s="596">
        <f t="shared" si="48"/>
        <v>2048</v>
      </c>
      <c r="BI58" s="1102">
        <f>'Recycling - Case 1'!BV128</f>
        <v>68.607826094018549</v>
      </c>
      <c r="BJ58" s="417">
        <f>'Recycling - Case 1'!BW128</f>
        <v>0.74437652795579423</v>
      </c>
      <c r="BK58" s="1144">
        <f>'Recycling - Case 1'!BX128</f>
        <v>10.697832960739207</v>
      </c>
      <c r="BL58" s="1101">
        <f>'Recycling - Case 1'!BY128</f>
        <v>68.607826094018549</v>
      </c>
      <c r="BM58" s="417">
        <f>'Recycling - Case 1'!BZ128</f>
        <v>0.74437652795579423</v>
      </c>
      <c r="BN58" s="1144">
        <f>'Recycling - Case 1'!CA128</f>
        <v>10.697832960739207</v>
      </c>
      <c r="BO58" s="1102">
        <f>'Recycling - Case 2'!BV128</f>
        <v>70.992036433518251</v>
      </c>
      <c r="BP58" s="417">
        <f>'Recycling - Case 2'!BW128</f>
        <v>0.7757952748732222</v>
      </c>
      <c r="BQ58" s="1144">
        <f>'Recycling - Case 2'!BX128</f>
        <v>10.697832960739207</v>
      </c>
      <c r="BR58" s="1101">
        <f>'Recycling - Case 2'!BY128</f>
        <v>70.992036433518251</v>
      </c>
      <c r="BS58" s="417">
        <f>'Recycling - Case 2'!BZ128</f>
        <v>0.7757952748732222</v>
      </c>
      <c r="BT58" s="1144">
        <f>'Recycling - Case 2'!CA128</f>
        <v>10.697832960739207</v>
      </c>
      <c r="BU58" s="1102">
        <f>'Recycling - Case 3'!BV128</f>
        <v>70.992036433518251</v>
      </c>
      <c r="BV58" s="417">
        <f>'Recycling - Case 3'!BW128</f>
        <v>0.7757952748732222</v>
      </c>
      <c r="BW58" s="1144">
        <f>'Recycling - Case 3'!BX128</f>
        <v>10.697832960739207</v>
      </c>
      <c r="BX58" s="1101">
        <f>'Recycling - Case 3'!BY128</f>
        <v>70.992036433518251</v>
      </c>
      <c r="BY58" s="417">
        <f>'Recycling - Case 3'!BZ128</f>
        <v>0.7757952748732222</v>
      </c>
      <c r="BZ58" s="1144">
        <f>'Recycling - Case 3'!CA128</f>
        <v>10.697832960739207</v>
      </c>
      <c r="CA58" s="596">
        <v>2048</v>
      </c>
      <c r="CB58" s="649">
        <f>'Recycling - Case 1'!CB128</f>
        <v>0.42949464039331686</v>
      </c>
      <c r="CC58" s="417">
        <f>'Recycling - Case 1'!CC128</f>
        <v>0.41613851685325609</v>
      </c>
      <c r="CD58" s="417">
        <f>'Recycling - Case 1'!CD128</f>
        <v>0.42949464039331686</v>
      </c>
      <c r="CE58" s="525">
        <f>'Recycling - Case 1'!CE128</f>
        <v>0.41613851685325609</v>
      </c>
      <c r="CF58" s="649">
        <f>'Recycling - Case 2'!CB128</f>
        <v>0.37066860043647532</v>
      </c>
      <c r="CG58" s="417">
        <f>'Recycling - Case 2'!CC128</f>
        <v>0.41014498466469618</v>
      </c>
      <c r="CH58" s="417">
        <f>'Recycling - Case 2'!CD128</f>
        <v>0.37066860043647532</v>
      </c>
      <c r="CI58" s="525">
        <f>'Recycling - Case 2'!CE128</f>
        <v>0.41014498466469618</v>
      </c>
      <c r="CJ58" s="649">
        <f>'Recycling - Case 3'!CB128</f>
        <v>0.37066860043647532</v>
      </c>
      <c r="CK58" s="417">
        <f>'Recycling - Case 3'!CC128</f>
        <v>0.41014498466469618</v>
      </c>
      <c r="CL58" s="417">
        <f>'Recycling - Case 3'!CD128</f>
        <v>0.37066860043647532</v>
      </c>
      <c r="CM58" s="525">
        <f>'Recycling - Case 3'!CE128</f>
        <v>0.41014498466469618</v>
      </c>
    </row>
    <row r="59" spans="1:91">
      <c r="A59" s="4">
        <f>'Input data'!A148</f>
        <v>2048</v>
      </c>
      <c r="B59" s="4"/>
      <c r="C59" s="769">
        <f>'4A SWD Case 1'!BG118</f>
        <v>323.69796171868853</v>
      </c>
      <c r="D59" s="3">
        <f>'4B Biological treatment '!T112</f>
        <v>0.84926691005184995</v>
      </c>
      <c r="E59" s="1159">
        <f>'4B Biological treatment '!U112</f>
        <v>38.21701095233324</v>
      </c>
      <c r="F59" s="1159">
        <f>'4B Biological treatment '!W112</f>
        <v>2.2930206571399943</v>
      </c>
      <c r="G59" s="952">
        <f>'4C2 Open-burning '!R119</f>
        <v>8.5024882375470732</v>
      </c>
      <c r="H59" s="952">
        <f>'4C2 Open-burning '!Z119</f>
        <v>2.8608269850893189</v>
      </c>
      <c r="I59" s="952">
        <f>'4C2 Open-burning '!AH119</f>
        <v>3.9827540171406231E-2</v>
      </c>
      <c r="J59" s="987">
        <f>'4D Wastewater treatment and dis'!AV156</f>
        <v>235.1529267511888</v>
      </c>
      <c r="K59" s="770">
        <f>'4D Wastewater treatment and dis'!AW156</f>
        <v>3.76914977647577</v>
      </c>
      <c r="L59" s="771">
        <f t="shared" si="69"/>
        <v>6797.6571960924593</v>
      </c>
      <c r="M59" s="772">
        <f t="shared" si="70"/>
        <v>17.834605111088848</v>
      </c>
      <c r="N59" s="771">
        <f t="shared" si="71"/>
        <v>1513.3936337123964</v>
      </c>
      <c r="O59" s="773">
        <f t="shared" si="72"/>
        <v>80.926392377558713</v>
      </c>
      <c r="P59" s="771">
        <f t="shared" si="73"/>
        <v>6106.6478924824532</v>
      </c>
      <c r="Q59" s="519">
        <f t="shared" si="74"/>
        <v>6797.6571960924593</v>
      </c>
      <c r="R59" s="521">
        <f t="shared" si="75"/>
        <v>1531.2282388234853</v>
      </c>
      <c r="S59" s="518">
        <f t="shared" si="76"/>
        <v>80.926392377558713</v>
      </c>
      <c r="T59" s="519">
        <f t="shared" si="77"/>
        <v>6106.6478924824532</v>
      </c>
      <c r="U59" s="519">
        <f t="shared" si="78"/>
        <v>14516.459719775956</v>
      </c>
      <c r="V59" s="3"/>
      <c r="W59" s="596">
        <f t="shared" si="79"/>
        <v>2049</v>
      </c>
      <c r="X59" s="1101">
        <f t="shared" si="80"/>
        <v>6595.4089876209964</v>
      </c>
      <c r="Y59" s="1102">
        <f t="shared" si="81"/>
        <v>1547.9993067162213</v>
      </c>
      <c r="Z59" s="1102">
        <f t="shared" si="82"/>
        <v>80.820179286667425</v>
      </c>
      <c r="AA59" s="1102">
        <f t="shared" si="83"/>
        <v>6179.775115323424</v>
      </c>
      <c r="AB59" s="1144">
        <f t="shared" si="22"/>
        <v>14404.003588947309</v>
      </c>
      <c r="AC59" s="1425" t="str">
        <f>IF(OR('Recycling - Case 1'!AC129="No",'Recycling - Case 1'!T169="No"), "No", "Yes")</f>
        <v>Yes</v>
      </c>
      <c r="AD59" s="1101">
        <f t="shared" si="84"/>
        <v>6595.4089876209964</v>
      </c>
      <c r="AE59" s="1102">
        <f t="shared" si="85"/>
        <v>1547.9993067162213</v>
      </c>
      <c r="AF59" s="1102">
        <f t="shared" si="86"/>
        <v>80.820179286667425</v>
      </c>
      <c r="AG59" s="1102">
        <f t="shared" si="87"/>
        <v>6179.775115323424</v>
      </c>
      <c r="AH59" s="1144">
        <f t="shared" si="60"/>
        <v>14404.003588947309</v>
      </c>
      <c r="AI59" s="1425" t="str">
        <f>IF(OR('Recycling - Case 1'!AI40="No",'Recycling - Case 1'!Z169="No"), "No", "Yes")</f>
        <v>Yes</v>
      </c>
      <c r="AJ59" s="1101">
        <f t="shared" si="88"/>
        <v>5815.2225508868096</v>
      </c>
      <c r="AK59" s="1102">
        <f t="shared" si="89"/>
        <v>1547.9993067162213</v>
      </c>
      <c r="AL59" s="1102">
        <f t="shared" si="90"/>
        <v>94.889308458078077</v>
      </c>
      <c r="AM59" s="1102">
        <f t="shared" si="91"/>
        <v>6221.7780642618636</v>
      </c>
      <c r="AN59" s="1144">
        <f t="shared" si="92"/>
        <v>13679.889230322973</v>
      </c>
      <c r="AO59" s="1418" t="str">
        <f>IF(OR('Recycling - Case 2'!AC129="No",'Recycling - Case 2'!T169="No"), "No", "Yes")</f>
        <v>Yes</v>
      </c>
      <c r="AP59" s="1101">
        <f t="shared" si="93"/>
        <v>5815.2225508868096</v>
      </c>
      <c r="AQ59" s="1102">
        <f t="shared" si="94"/>
        <v>1547.9993067162213</v>
      </c>
      <c r="AR59" s="1102">
        <f t="shared" si="95"/>
        <v>94.889308458078077</v>
      </c>
      <c r="AS59" s="1102">
        <f t="shared" si="96"/>
        <v>6221.7780642618636</v>
      </c>
      <c r="AT59" s="1144">
        <f t="shared" si="37"/>
        <v>13679.889230322973</v>
      </c>
      <c r="AU59" s="1425" t="str">
        <f>IF(OR('Recycling - Case 2'!AC129="No",'Recycling - Case 2'!T209="No"), "No", "Yes")</f>
        <v>Yes</v>
      </c>
      <c r="AV59" s="1101">
        <f t="shared" si="63"/>
        <v>5816.8253675436117</v>
      </c>
      <c r="AW59" s="1102">
        <f t="shared" si="64"/>
        <v>940.13269043497644</v>
      </c>
      <c r="AX59" s="1102">
        <f t="shared" si="65"/>
        <v>94.889308458078091</v>
      </c>
      <c r="AY59" s="1102">
        <f t="shared" si="66"/>
        <v>6221.7780642618636</v>
      </c>
      <c r="AZ59" s="1144">
        <f t="shared" si="67"/>
        <v>13073.625430698528</v>
      </c>
      <c r="BA59" s="1425" t="str">
        <f>IF(OR('Recycling - Case 3'!AC129="No",'Recycling - Case 3'!T169="No"), "No", "Yes")</f>
        <v>Yes</v>
      </c>
      <c r="BB59" s="1101">
        <f t="shared" si="97"/>
        <v>5816.8253675436117</v>
      </c>
      <c r="BC59" s="1102">
        <f t="shared" si="98"/>
        <v>940.13269043497644</v>
      </c>
      <c r="BD59" s="1102">
        <f t="shared" si="99"/>
        <v>94.889308458078091</v>
      </c>
      <c r="BE59" s="1102">
        <f t="shared" si="100"/>
        <v>6221.7780642618636</v>
      </c>
      <c r="BF59" s="1144">
        <f t="shared" si="47"/>
        <v>13073.625430698528</v>
      </c>
      <c r="BG59" s="1425" t="str">
        <f>IF(OR('Recycling - Case 3'!AC129="No",'Recycling - Case 3'!T209="No"), "No", "Yes")</f>
        <v>Yes</v>
      </c>
      <c r="BH59" s="596">
        <f t="shared" si="48"/>
        <v>2049</v>
      </c>
      <c r="BI59" s="1102">
        <f>'Recycling - Case 1'!BV129</f>
        <v>68.658381543966158</v>
      </c>
      <c r="BJ59" s="417">
        <f>'Recycling - Case 1'!BW129</f>
        <v>0.75669995145792956</v>
      </c>
      <c r="BK59" s="1144">
        <f>'Recycling - Case 1'!BX129</f>
        <v>9.4168520231428214</v>
      </c>
      <c r="BL59" s="1101">
        <f>'Recycling - Case 1'!BY129</f>
        <v>68.658381543966158</v>
      </c>
      <c r="BM59" s="417">
        <f>'Recycling - Case 1'!BZ129</f>
        <v>0.75669995145792956</v>
      </c>
      <c r="BN59" s="1144">
        <f>'Recycling - Case 1'!CA129</f>
        <v>9.4168520231428214</v>
      </c>
      <c r="BO59" s="1102">
        <f>'Recycling - Case 2'!BV129</f>
        <v>71.628071231646388</v>
      </c>
      <c r="BP59" s="417">
        <f>'Recycling - Case 2'!BW129</f>
        <v>0.77778614248466738</v>
      </c>
      <c r="BQ59" s="1144">
        <f>'Recycling - Case 2'!BX129</f>
        <v>9.4168520231428214</v>
      </c>
      <c r="BR59" s="1101">
        <f>'Recycling - Case 2'!BY129</f>
        <v>71.628071231646388</v>
      </c>
      <c r="BS59" s="417">
        <f>'Recycling - Case 2'!BZ129</f>
        <v>0.77778614248466738</v>
      </c>
      <c r="BT59" s="1144">
        <f>'Recycling - Case 2'!CA129</f>
        <v>9.4168520231428214</v>
      </c>
      <c r="BU59" s="1102">
        <f>'Recycling - Case 3'!BV129</f>
        <v>71.628071231646388</v>
      </c>
      <c r="BV59" s="417">
        <f>'Recycling - Case 3'!BW129</f>
        <v>0.77778614248466738</v>
      </c>
      <c r="BW59" s="1144">
        <f>'Recycling - Case 3'!BX129</f>
        <v>9.4168520231428214</v>
      </c>
      <c r="BX59" s="1101">
        <f>'Recycling - Case 3'!BY129</f>
        <v>71.628071231646388</v>
      </c>
      <c r="BY59" s="417">
        <f>'Recycling - Case 3'!BZ129</f>
        <v>0.77778614248466738</v>
      </c>
      <c r="BZ59" s="1144">
        <f>'Recycling - Case 3'!CA129</f>
        <v>9.4168520231428214</v>
      </c>
      <c r="CA59" s="596">
        <v>2049</v>
      </c>
      <c r="CB59" s="649">
        <f>'Recycling - Case 1'!CB129</f>
        <v>0.4310278228276031</v>
      </c>
      <c r="CC59" s="417">
        <f>'Recycling - Case 1'!CC129</f>
        <v>0.42464719043152677</v>
      </c>
      <c r="CD59" s="417">
        <f>'Recycling - Case 1'!CD129</f>
        <v>0.4310278228276031</v>
      </c>
      <c r="CE59" s="525">
        <f>'Recycling - Case 1'!CE129</f>
        <v>0.42464719043152677</v>
      </c>
      <c r="CF59" s="649">
        <f>'Recycling - Case 2'!CB129</f>
        <v>0.37223367175394073</v>
      </c>
      <c r="CG59" s="417">
        <f>'Recycling - Case 2'!CC129</f>
        <v>0.41217095711394036</v>
      </c>
      <c r="CH59" s="417">
        <f>'Recycling - Case 2'!CD129</f>
        <v>0.37223367175394073</v>
      </c>
      <c r="CI59" s="525">
        <f>'Recycling - Case 2'!CE129</f>
        <v>0.41217095711394036</v>
      </c>
      <c r="CJ59" s="649">
        <f>'Recycling - Case 3'!CB129</f>
        <v>0.37223367175394073</v>
      </c>
      <c r="CK59" s="417">
        <f>'Recycling - Case 3'!CC129</f>
        <v>0.41217095711394036</v>
      </c>
      <c r="CL59" s="417">
        <f>'Recycling - Case 3'!CD129</f>
        <v>0.37223367175394073</v>
      </c>
      <c r="CM59" s="525">
        <f>'Recycling - Case 3'!CE129</f>
        <v>0.41217095711394036</v>
      </c>
    </row>
    <row r="60" spans="1:91" ht="15" thickBot="1">
      <c r="A60" s="4">
        <f>'Input data'!A149</f>
        <v>2049</v>
      </c>
      <c r="B60" s="4"/>
      <c r="C60" s="769">
        <f>'4A SWD Case 1'!BG119</f>
        <v>314.06709464861888</v>
      </c>
      <c r="D60" s="3">
        <f>'4B Biological treatment '!T113</f>
        <v>0.85856866706390544</v>
      </c>
      <c r="E60" s="1159">
        <f>'4B Biological treatment '!U113</f>
        <v>38.635590017875742</v>
      </c>
      <c r="F60" s="1159">
        <f>'4B Biological treatment '!W113</f>
        <v>2.3181354010725443</v>
      </c>
      <c r="G60" s="952">
        <f>'4C2 Open-burning '!R120</f>
        <v>8.4913290158216892</v>
      </c>
      <c r="H60" s="952">
        <f>'4C2 Open-burning '!Z120</f>
        <v>2.8570722486224582</v>
      </c>
      <c r="I60" s="952">
        <f>'4C2 Open-burning '!AH120</f>
        <v>3.9775267902497149E-2</v>
      </c>
      <c r="J60" s="987">
        <f>'4D Wastewater treatment and dis'!AV157</f>
        <v>238.35159118378778</v>
      </c>
      <c r="K60" s="770">
        <f>'4D Wastewater treatment and dis'!AW157</f>
        <v>3.7883603240770336</v>
      </c>
      <c r="L60" s="771">
        <f t="shared" si="69"/>
        <v>6595.4089876209964</v>
      </c>
      <c r="M60" s="772">
        <f t="shared" si="70"/>
        <v>18.029942008342015</v>
      </c>
      <c r="N60" s="771">
        <f t="shared" si="71"/>
        <v>1529.9693647078793</v>
      </c>
      <c r="O60" s="773">
        <f t="shared" si="72"/>
        <v>80.820179286667425</v>
      </c>
      <c r="P60" s="771">
        <f t="shared" si="73"/>
        <v>6179.775115323424</v>
      </c>
      <c r="Q60" s="519">
        <f t="shared" si="74"/>
        <v>6595.4089876209964</v>
      </c>
      <c r="R60" s="521">
        <f t="shared" si="75"/>
        <v>1547.9993067162213</v>
      </c>
      <c r="S60" s="518">
        <f t="shared" si="76"/>
        <v>80.820179286667425</v>
      </c>
      <c r="T60" s="519">
        <f t="shared" si="77"/>
        <v>6179.775115323424</v>
      </c>
      <c r="U60" s="519">
        <f t="shared" si="78"/>
        <v>14404.003588947309</v>
      </c>
      <c r="V60" s="3"/>
      <c r="W60" s="1145">
        <f t="shared" si="79"/>
        <v>2050</v>
      </c>
      <c r="X60" s="1149">
        <f t="shared" si="80"/>
        <v>6405.1721696134091</v>
      </c>
      <c r="Y60" s="1146">
        <f t="shared" si="81"/>
        <v>1565.6211888160635</v>
      </c>
      <c r="Z60" s="1146">
        <f t="shared" si="82"/>
        <v>80.714491749200192</v>
      </c>
      <c r="AA60" s="1146">
        <f t="shared" si="83"/>
        <v>6253.5767542913654</v>
      </c>
      <c r="AB60" s="1147">
        <f t="shared" si="22"/>
        <v>14305.084604470037</v>
      </c>
      <c r="AC60" s="1425" t="str">
        <f>IF(OR('Recycling - Case 1'!AC130="No",'Recycling - Case 1'!T170="No"), "No", "Yes")</f>
        <v>Yes</v>
      </c>
      <c r="AD60" s="1149">
        <f t="shared" si="84"/>
        <v>6405.1721696134091</v>
      </c>
      <c r="AE60" s="1146">
        <f t="shared" si="85"/>
        <v>1565.6211888160635</v>
      </c>
      <c r="AF60" s="1146">
        <f t="shared" si="86"/>
        <v>80.714491749200192</v>
      </c>
      <c r="AG60" s="1146">
        <f t="shared" si="87"/>
        <v>6253.5767542913654</v>
      </c>
      <c r="AH60" s="1147">
        <f t="shared" si="60"/>
        <v>14305.084604470037</v>
      </c>
      <c r="AI60" s="1425" t="str">
        <f>IF(OR('Recycling - Case 1'!AI41="No",'Recycling - Case 1'!Z170="No"), "No", "Yes")</f>
        <v>Yes</v>
      </c>
      <c r="AJ60" s="1149">
        <f t="shared" si="88"/>
        <v>5672.9840626952437</v>
      </c>
      <c r="AK60" s="1146">
        <f t="shared" si="89"/>
        <v>1565.6211888160635</v>
      </c>
      <c r="AL60" s="1146">
        <f t="shared" si="90"/>
        <v>94.743655311642982</v>
      </c>
      <c r="AM60" s="1146">
        <f t="shared" si="91"/>
        <v>6253.5767542913654</v>
      </c>
      <c r="AN60" s="1147">
        <f t="shared" si="92"/>
        <v>13586.925661114316</v>
      </c>
      <c r="AO60" s="1418" t="str">
        <f>IF(OR('Recycling - Case 2'!AC130="No",'Recycling - Case 2'!T170="No"), "No", "Yes")</f>
        <v>Yes</v>
      </c>
      <c r="AP60" s="1149">
        <f t="shared" si="93"/>
        <v>5672.9840626952437</v>
      </c>
      <c r="AQ60" s="1146">
        <f t="shared" si="94"/>
        <v>1565.6211888160635</v>
      </c>
      <c r="AR60" s="1146">
        <f t="shared" si="95"/>
        <v>94.743655311642982</v>
      </c>
      <c r="AS60" s="1146">
        <f t="shared" si="96"/>
        <v>6253.5767542913654</v>
      </c>
      <c r="AT60" s="1147">
        <f t="shared" si="37"/>
        <v>13586.925661114316</v>
      </c>
      <c r="AU60" s="1425" t="str">
        <f>IF(OR('Recycling - Case 2'!AC130="No",'Recycling - Case 2'!T210="No"), "No", "Yes")</f>
        <v>Yes</v>
      </c>
      <c r="AV60" s="1149">
        <f t="shared" si="63"/>
        <v>5674.6224366582665</v>
      </c>
      <c r="AW60" s="1146">
        <f t="shared" si="64"/>
        <v>950.83483181008842</v>
      </c>
      <c r="AX60" s="1146">
        <f t="shared" si="65"/>
        <v>94.743655311642982</v>
      </c>
      <c r="AY60" s="1146">
        <f t="shared" si="66"/>
        <v>6253.5767542913654</v>
      </c>
      <c r="AZ60" s="1147">
        <f t="shared" si="67"/>
        <v>12973.777678071365</v>
      </c>
      <c r="BA60" s="1425" t="str">
        <f>IF(OR('Recycling - Case 3'!AC130="No",'Recycling - Case 3'!T170="No"), "No", "Yes")</f>
        <v>Yes</v>
      </c>
      <c r="BB60" s="1149">
        <f t="shared" si="97"/>
        <v>5674.6224366582665</v>
      </c>
      <c r="BC60" s="1146">
        <f t="shared" si="98"/>
        <v>950.83483181008842</v>
      </c>
      <c r="BD60" s="1146">
        <f t="shared" si="99"/>
        <v>94.743655311642982</v>
      </c>
      <c r="BE60" s="1146">
        <f t="shared" si="100"/>
        <v>6253.5767542913654</v>
      </c>
      <c r="BF60" s="1147">
        <f t="shared" si="47"/>
        <v>12973.777678071365</v>
      </c>
      <c r="BG60" s="1425" t="str">
        <f>IF(OR('Recycling - Case 3'!AC130="No",'Recycling - Case 3'!T210="No"), "No", "Yes")</f>
        <v>Yes</v>
      </c>
      <c r="BH60" s="1145">
        <f t="shared" si="48"/>
        <v>2050</v>
      </c>
      <c r="BI60" s="1146">
        <f>'Recycling - Case 1'!BV130</f>
        <v>68.810267360351872</v>
      </c>
      <c r="BJ60" s="651">
        <f>'Recycling - Case 1'!BW130</f>
        <v>0.7686864093782273</v>
      </c>
      <c r="BK60" s="1147">
        <f>'Recycling - Case 1'!BX130</f>
        <v>8.1358710855464391</v>
      </c>
      <c r="BL60" s="1149">
        <f>'Recycling - Case 1'!BY130</f>
        <v>68.810267360351872</v>
      </c>
      <c r="BM60" s="651">
        <f>'Recycling - Case 1'!BZ130</f>
        <v>0.7686864093782273</v>
      </c>
      <c r="BN60" s="1147">
        <f>'Recycling - Case 1'!CA130</f>
        <v>8.1358710855464391</v>
      </c>
      <c r="BO60" s="1146">
        <f>'Recycling - Case 2'!BV130</f>
        <v>72.320162938532434</v>
      </c>
      <c r="BP60" s="651">
        <f>'Recycling - Case 2'!BW130</f>
        <v>0.77991269145375974</v>
      </c>
      <c r="BQ60" s="1147">
        <f>'Recycling - Case 2'!BX130</f>
        <v>8.1358710855464391</v>
      </c>
      <c r="BR60" s="1149">
        <f>'Recycling - Case 2'!BY130</f>
        <v>72.320162938532434</v>
      </c>
      <c r="BS60" s="651">
        <f>'Recycling - Case 2'!BZ130</f>
        <v>0.77991269145375974</v>
      </c>
      <c r="BT60" s="1147">
        <f>'Recycling - Case 2'!CA130</f>
        <v>8.1358710855464391</v>
      </c>
      <c r="BU60" s="1146">
        <f>'Recycling - Case 3'!BV130</f>
        <v>72.320162938532434</v>
      </c>
      <c r="BV60" s="651">
        <f>'Recycling - Case 3'!BW130</f>
        <v>0.77991269145375974</v>
      </c>
      <c r="BW60" s="1147">
        <f>'Recycling - Case 3'!BX130</f>
        <v>8.1358710855464391</v>
      </c>
      <c r="BX60" s="1149">
        <f>'Recycling - Case 3'!BY130</f>
        <v>72.320162938532434</v>
      </c>
      <c r="BY60" s="651">
        <f>'Recycling - Case 3'!BZ130</f>
        <v>0.77991269145375974</v>
      </c>
      <c r="BZ60" s="1147">
        <f>'Recycling - Case 3'!CA130</f>
        <v>8.1358710855464391</v>
      </c>
      <c r="CA60" s="1145">
        <v>2050</v>
      </c>
      <c r="CB60" s="650">
        <f>'Recycling - Case 1'!CB130</f>
        <v>0.43255703878856866</v>
      </c>
      <c r="CC60" s="651">
        <f>'Recycling - Case 1'!CC130</f>
        <v>0.4326070386148424</v>
      </c>
      <c r="CD60" s="651">
        <f>'Recycling - Case 1'!CD130</f>
        <v>0.43255703878856866</v>
      </c>
      <c r="CE60" s="652">
        <f>'Recycling - Case 1'!CE130</f>
        <v>0.4326070386148424</v>
      </c>
      <c r="CF60" s="650">
        <f>'Recycling - Case 2'!CB130</f>
        <v>0.37379453736104118</v>
      </c>
      <c r="CG60" s="651">
        <f>'Recycling - Case 2'!CC130</f>
        <v>0.41437174149669154</v>
      </c>
      <c r="CH60" s="651">
        <f>'Recycling - Case 2'!CD130</f>
        <v>0.37379453736104118</v>
      </c>
      <c r="CI60" s="652">
        <f>'Recycling - Case 2'!CE130</f>
        <v>0.41437174149669154</v>
      </c>
      <c r="CJ60" s="650">
        <f>'Recycling - Case 3'!CB130</f>
        <v>0.37379453736104118</v>
      </c>
      <c r="CK60" s="651">
        <f>'Recycling - Case 3'!CC130</f>
        <v>0.41437174149669154</v>
      </c>
      <c r="CL60" s="651">
        <f>'Recycling - Case 3'!CD130</f>
        <v>0.37379453736104118</v>
      </c>
      <c r="CM60" s="652">
        <f>'Recycling - Case 3'!CE130</f>
        <v>0.41437174149669154</v>
      </c>
    </row>
    <row r="61" spans="1:91">
      <c r="A61" s="4">
        <f>'Input data'!A150</f>
        <v>2050</v>
      </c>
      <c r="B61" s="4"/>
      <c r="C61" s="769">
        <f>'4A SWD Case 1'!BG120</f>
        <v>305.0081985530195</v>
      </c>
      <c r="D61" s="3">
        <f>'4B Biological treatment '!T114</f>
        <v>0.86834231215533209</v>
      </c>
      <c r="E61" s="1159">
        <f>'4B Biological treatment '!U114</f>
        <v>39.075404046989938</v>
      </c>
      <c r="F61" s="1159">
        <f>'4B Biological treatment '!W114</f>
        <v>2.344524242819396</v>
      </c>
      <c r="G61" s="952">
        <f>'4C2 Open-burning '!R121</f>
        <v>8.4802250110863984</v>
      </c>
      <c r="H61" s="952">
        <f>'4C2 Open-burning '!Z121</f>
        <v>2.8533360909822743</v>
      </c>
      <c r="I61" s="952">
        <f>'4C2 Open-burning '!AH121</f>
        <v>3.9723254282212989E-2</v>
      </c>
      <c r="J61" s="987">
        <f>'4D Wastewater treatment and dis'!AV158</f>
        <v>241.58013772301177</v>
      </c>
      <c r="K61" s="770">
        <f>'4D Wastewater treatment and dis'!AW158</f>
        <v>3.8077221358326381</v>
      </c>
      <c r="L61" s="771">
        <f t="shared" si="69"/>
        <v>6405.1721696134091</v>
      </c>
      <c r="M61" s="772">
        <f t="shared" si="70"/>
        <v>18.235188555261974</v>
      </c>
      <c r="N61" s="771">
        <f t="shared" si="71"/>
        <v>1547.3860002608014</v>
      </c>
      <c r="O61" s="773">
        <f t="shared" si="72"/>
        <v>80.714491749200192</v>
      </c>
      <c r="P61" s="771">
        <f t="shared" si="73"/>
        <v>6253.5767542913654</v>
      </c>
      <c r="Q61" s="471">
        <f t="shared" si="74"/>
        <v>6405.1721696134091</v>
      </c>
      <c r="R61" s="517">
        <f t="shared" si="75"/>
        <v>1565.6211888160635</v>
      </c>
      <c r="S61" s="514">
        <f t="shared" si="76"/>
        <v>80.714491749200192</v>
      </c>
      <c r="T61" s="471">
        <f t="shared" si="77"/>
        <v>6253.5767542913654</v>
      </c>
      <c r="U61" s="471">
        <f t="shared" si="78"/>
        <v>14305.084604470037</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820.16905115932695</v>
      </c>
      <c r="D63" s="3">
        <f>'4B Biological treatment '!T116</f>
        <v>0.32094742419140376</v>
      </c>
      <c r="E63" s="1159">
        <f>'4B Biological treatment '!U116</f>
        <v>20.374672143992505</v>
      </c>
      <c r="F63" s="1159">
        <f>'4B Biological treatment '!W116</f>
        <v>1.2224803286395503</v>
      </c>
      <c r="G63" s="952">
        <f>'4C2 Open-burning '!R89</f>
        <v>32.890535383779863</v>
      </c>
      <c r="H63" s="952">
        <f>'4C2 Open-burning '!Z89</f>
        <v>11.066658200646708</v>
      </c>
      <c r="I63" s="952">
        <f>'4C2 Open-burning '!AH89</f>
        <v>0.15406656059479179</v>
      </c>
      <c r="J63" s="987">
        <f>'4D Wastewater treatment and dis'!AV126</f>
        <v>134.80820881535828</v>
      </c>
      <c r="K63" s="770">
        <f>'4D Wastewater treatment and dis'!AW126</f>
        <v>2.8960026562367029</v>
      </c>
      <c r="L63" s="771">
        <f t="shared" ref="L63:L95" si="101">C63*$B$3</f>
        <v>17223.550074345865</v>
      </c>
      <c r="M63" s="772">
        <f t="shared" ref="M63:M95" si="102">D63*$B$3</f>
        <v>6.7398959080194789</v>
      </c>
      <c r="N63" s="771">
        <f t="shared" ref="N63:N95" si="103">E63*$B$3+F63*$C$3</f>
        <v>806.83701690210319</v>
      </c>
      <c r="O63" s="773">
        <f t="shared" ref="O63:O95" si="104">G63+H63*$B$3+I63*$C$3</f>
        <v>313.0509913817462</v>
      </c>
      <c r="P63" s="771">
        <f t="shared" ref="P63:P95" si="105">J63*$B$3+K63*$C$3</f>
        <v>3728.7332085559019</v>
      </c>
      <c r="Q63" s="471">
        <f t="shared" ref="Q63:Q95" si="106">L63</f>
        <v>17223.550074345865</v>
      </c>
      <c r="R63" s="517">
        <f t="shared" ref="R63:R95" si="107">M63+N63</f>
        <v>813.57691281012262</v>
      </c>
      <c r="S63" s="514">
        <f t="shared" ref="S63:S95" si="108">O63</f>
        <v>313.0509913817462</v>
      </c>
      <c r="T63" s="471">
        <f t="shared" ref="T63:T95" si="109">P63</f>
        <v>3728.7332085559019</v>
      </c>
      <c r="U63" s="471">
        <f t="shared" ref="U63:U95" si="110">SUM(Q63:T63)</f>
        <v>22078.911187093639</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801.34236499845622</v>
      </c>
      <c r="D64" s="3">
        <f>'4B Biological treatment '!T117</f>
        <v>0.37478585972226036</v>
      </c>
      <c r="E64" s="1159">
        <f>'4B Biological treatment '!U117</f>
        <v>21.678410820099796</v>
      </c>
      <c r="F64" s="1159">
        <f>'4B Biological treatment '!W117</f>
        <v>1.3007046492059877</v>
      </c>
      <c r="G64" s="952">
        <f>'4C2 Open-burning '!R90</f>
        <v>32.036506307676866</v>
      </c>
      <c r="H64" s="952">
        <f>'4C2 Open-burning '!Z90</f>
        <v>10.779303562956411</v>
      </c>
      <c r="I64" s="952">
        <f>'4C2 Open-burning '!AH90</f>
        <v>0.15006609903745199</v>
      </c>
      <c r="J64" s="987">
        <f>'4D Wastewater treatment and dis'!AV127</f>
        <v>138.54240079281473</v>
      </c>
      <c r="K64" s="770">
        <f>'4D Wastewater treatment and dis'!AW127</f>
        <v>2.9428441226975277</v>
      </c>
      <c r="L64" s="771">
        <f t="shared" si="101"/>
        <v>16828.18966496758</v>
      </c>
      <c r="M64" s="772">
        <f t="shared" si="102"/>
        <v>7.8705030541674672</v>
      </c>
      <c r="N64" s="771">
        <f t="shared" si="103"/>
        <v>858.46506847595197</v>
      </c>
      <c r="O64" s="773">
        <f t="shared" si="104"/>
        <v>304.92237183137161</v>
      </c>
      <c r="P64" s="771">
        <f t="shared" si="105"/>
        <v>3821.6720946853429</v>
      </c>
      <c r="Q64" s="519">
        <f t="shared" si="106"/>
        <v>16828.18966496758</v>
      </c>
      <c r="R64" s="521">
        <f t="shared" si="107"/>
        <v>866.33557153011941</v>
      </c>
      <c r="S64" s="518">
        <f t="shared" si="108"/>
        <v>304.92237183137161</v>
      </c>
      <c r="T64" s="519">
        <f t="shared" si="109"/>
        <v>3821.6720946853429</v>
      </c>
      <c r="U64" s="519">
        <f t="shared" si="110"/>
        <v>21821.119703014414</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781.58324095748401</v>
      </c>
      <c r="D65" s="3">
        <f>'4B Biological treatment '!T118</f>
        <v>0.42229247781244983</v>
      </c>
      <c r="E65" s="1159">
        <f>'4B Biological treatment '!U118</f>
        <v>22.45453865066802</v>
      </c>
      <c r="F65" s="1159">
        <f>'4B Biological treatment '!W118</f>
        <v>1.347272319040081</v>
      </c>
      <c r="G65" s="952">
        <f>'4C2 Open-burning '!R91</f>
        <v>31.199873572885483</v>
      </c>
      <c r="H65" s="952">
        <f>'4C2 Open-burning '!Z91</f>
        <v>10.497802261522001</v>
      </c>
      <c r="I65" s="952">
        <f>'4C2 Open-burning '!AH91</f>
        <v>0.14614712580012698</v>
      </c>
      <c r="J65" s="987">
        <f>'4D Wastewater treatment and dis'!AV128</f>
        <v>142.36205971856938</v>
      </c>
      <c r="K65" s="770">
        <f>'4D Wastewater treatment and dis'!AW128</f>
        <v>2.9904419099300554</v>
      </c>
      <c r="L65" s="771">
        <f t="shared" si="101"/>
        <v>16413.248060107166</v>
      </c>
      <c r="M65" s="772">
        <f t="shared" si="102"/>
        <v>8.8681420340614459</v>
      </c>
      <c r="N65" s="771">
        <f t="shared" si="103"/>
        <v>889.19973056645358</v>
      </c>
      <c r="O65" s="773">
        <f t="shared" si="104"/>
        <v>296.95933006288686</v>
      </c>
      <c r="P65" s="771">
        <f t="shared" si="105"/>
        <v>3916.6402461682742</v>
      </c>
      <c r="Q65" s="519">
        <f t="shared" si="106"/>
        <v>16413.248060107166</v>
      </c>
      <c r="R65" s="521">
        <f t="shared" si="107"/>
        <v>898.06787260051499</v>
      </c>
      <c r="S65" s="518">
        <f t="shared" si="108"/>
        <v>296.95933006288686</v>
      </c>
      <c r="T65" s="519">
        <f t="shared" si="109"/>
        <v>3916.6402461682742</v>
      </c>
      <c r="U65" s="519">
        <f t="shared" si="110"/>
        <v>21524.915508938841</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761.54984516390789</v>
      </c>
      <c r="D66" s="3">
        <f>'4B Biological treatment '!T119</f>
        <v>0.48750706482587081</v>
      </c>
      <c r="E66" s="1159">
        <f>'4B Biological treatment '!U119</f>
        <v>23.784846022072603</v>
      </c>
      <c r="F66" s="1159">
        <f>'4B Biological treatment '!W119</f>
        <v>1.427090761324356</v>
      </c>
      <c r="G66" s="952">
        <f>'4C2 Open-burning '!R92</f>
        <v>30.39602579104433</v>
      </c>
      <c r="H66" s="952">
        <f>'4C2 Open-burning '!Z92</f>
        <v>10.227332093031791</v>
      </c>
      <c r="I66" s="952">
        <f>'4C2 Open-burning '!AH92</f>
        <v>0.14238172455186715</v>
      </c>
      <c r="J66" s="987">
        <f>'4D Wastewater treatment and dis'!AV129</f>
        <v>145.59854093589945</v>
      </c>
      <c r="K66" s="770">
        <f>'4D Wastewater treatment and dis'!AW129</f>
        <v>3.024879715734945</v>
      </c>
      <c r="L66" s="771">
        <f t="shared" si="101"/>
        <v>15992.546748442066</v>
      </c>
      <c r="M66" s="772">
        <f t="shared" si="102"/>
        <v>10.237648361343286</v>
      </c>
      <c r="N66" s="771">
        <f t="shared" si="103"/>
        <v>941.87990247407492</v>
      </c>
      <c r="O66" s="773">
        <f t="shared" si="104"/>
        <v>289.30833435579075</v>
      </c>
      <c r="P66" s="771">
        <f t="shared" si="105"/>
        <v>3995.2820715317216</v>
      </c>
      <c r="Q66" s="519">
        <f t="shared" si="106"/>
        <v>15992.546748442066</v>
      </c>
      <c r="R66" s="521">
        <f t="shared" si="107"/>
        <v>952.11755083541823</v>
      </c>
      <c r="S66" s="518">
        <f t="shared" si="108"/>
        <v>289.30833435579075</v>
      </c>
      <c r="T66" s="519">
        <f t="shared" si="109"/>
        <v>3995.2820715317216</v>
      </c>
      <c r="U66" s="519">
        <f t="shared" si="110"/>
        <v>21229.254705164996</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740.92495040543702</v>
      </c>
      <c r="D67" s="3">
        <f>'4B Biological treatment '!T120</f>
        <v>0.55746051992920598</v>
      </c>
      <c r="E67" s="1159">
        <f>'4B Biological treatment '!U120</f>
        <v>25.085723396814267</v>
      </c>
      <c r="F67" s="1159">
        <f>'4B Biological treatment '!W120</f>
        <v>1.5051434038088558</v>
      </c>
      <c r="G67" s="952">
        <f>'4C2 Open-burning '!R93</f>
        <v>29.61603387325232</v>
      </c>
      <c r="H67" s="952">
        <f>'4C2 Open-burning '!Z93</f>
        <v>9.9648886924379578</v>
      </c>
      <c r="I67" s="952">
        <f>'4C2 Open-burning '!AH93</f>
        <v>0.13872806946040236</v>
      </c>
      <c r="J67" s="987">
        <f>'4D Wastewater treatment and dis'!AV130</f>
        <v>148.88856151515967</v>
      </c>
      <c r="K67" s="770">
        <f>'4D Wastewater treatment and dis'!AW130</f>
        <v>3.0596704712332969</v>
      </c>
      <c r="L67" s="771">
        <f t="shared" si="101"/>
        <v>15559.423958514177</v>
      </c>
      <c r="M67" s="772">
        <f t="shared" si="102"/>
        <v>11.706670918513325</v>
      </c>
      <c r="N67" s="771">
        <f t="shared" si="103"/>
        <v>993.39464651384492</v>
      </c>
      <c r="O67" s="773">
        <f t="shared" si="104"/>
        <v>281.88439794717414</v>
      </c>
      <c r="P67" s="771">
        <f t="shared" si="105"/>
        <v>4075.1576379006751</v>
      </c>
      <c r="Q67" s="519">
        <f t="shared" si="106"/>
        <v>15559.423958514177</v>
      </c>
      <c r="R67" s="521">
        <f t="shared" si="107"/>
        <v>1005.1013174323582</v>
      </c>
      <c r="S67" s="518">
        <f t="shared" si="108"/>
        <v>281.88439794717414</v>
      </c>
      <c r="T67" s="519">
        <f t="shared" si="109"/>
        <v>4075.1576379006751</v>
      </c>
      <c r="U67" s="519">
        <f t="shared" si="110"/>
        <v>20921.567311794388</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720.14908890491745</v>
      </c>
      <c r="D68" s="3">
        <f>'4B Biological treatment '!T121</f>
        <v>0.59049904957956867</v>
      </c>
      <c r="E68" s="1159">
        <f>'4B Biological treatment '!U121</f>
        <v>26.572457231080588</v>
      </c>
      <c r="F68" s="1159">
        <f>'4B Biological treatment '!W121</f>
        <v>1.5943474338648351</v>
      </c>
      <c r="G68" s="952">
        <f>'4C2 Open-burning '!R94</f>
        <v>28.858978272630122</v>
      </c>
      <c r="H68" s="952">
        <f>'4C2 Open-burning '!Z94</f>
        <v>9.7101626603678675</v>
      </c>
      <c r="I68" s="952">
        <f>'4C2 Open-burning '!AH94</f>
        <v>0.1351818531642576</v>
      </c>
      <c r="J68" s="987">
        <f>'4D Wastewater treatment and dis'!AV131</f>
        <v>152.2376409126438</v>
      </c>
      <c r="K68" s="770">
        <f>'4D Wastewater treatment and dis'!AW131</f>
        <v>3.0949150191946715</v>
      </c>
      <c r="L68" s="771">
        <f t="shared" si="101"/>
        <v>15123.130867003267</v>
      </c>
      <c r="M68" s="772">
        <f t="shared" si="102"/>
        <v>12.400480041170942</v>
      </c>
      <c r="N68" s="771">
        <f t="shared" si="103"/>
        <v>1052.2693063507913</v>
      </c>
      <c r="O68" s="773">
        <f t="shared" si="104"/>
        <v>274.6787686212752</v>
      </c>
      <c r="P68" s="771">
        <f t="shared" si="105"/>
        <v>4156.4141151158683</v>
      </c>
      <c r="Q68" s="519">
        <f t="shared" si="106"/>
        <v>15123.130867003267</v>
      </c>
      <c r="R68" s="521">
        <f t="shared" si="107"/>
        <v>1064.6697863919624</v>
      </c>
      <c r="S68" s="518">
        <f t="shared" si="108"/>
        <v>274.6787686212752</v>
      </c>
      <c r="T68" s="519">
        <f t="shared" si="109"/>
        <v>4156.4141151158683</v>
      </c>
      <c r="U68" s="519">
        <f t="shared" si="110"/>
        <v>20618.893537132371</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699.27785189887345</v>
      </c>
      <c r="D69" s="3">
        <f>'4B Biological treatment '!T122</f>
        <v>0.62343981236265844</v>
      </c>
      <c r="E69" s="1159">
        <f>'4B Biological treatment '!U122</f>
        <v>28.054791556319621</v>
      </c>
      <c r="F69" s="1159">
        <f>'4B Biological treatment '!W122</f>
        <v>1.6832874933791775</v>
      </c>
      <c r="G69" s="952">
        <f>'4C2 Open-burning '!R95</f>
        <v>28.124156870320991</v>
      </c>
      <c r="H69" s="952">
        <f>'4C2 Open-burning '!Z95</f>
        <v>9.4629177553218575</v>
      </c>
      <c r="I69" s="952">
        <f>'4C2 Open-burning '!AH95</f>
        <v>0.13173978678302622</v>
      </c>
      <c r="J69" s="987">
        <f>'4D Wastewater treatment and dis'!AV132</f>
        <v>155.64399106583625</v>
      </c>
      <c r="K69" s="770">
        <f>'4D Wastewater treatment and dis'!AW132</f>
        <v>3.1305629382342866</v>
      </c>
      <c r="L69" s="771">
        <f t="shared" si="101"/>
        <v>14684.834889876343</v>
      </c>
      <c r="M69" s="772">
        <f t="shared" si="102"/>
        <v>13.092236059615827</v>
      </c>
      <c r="N69" s="771">
        <f t="shared" si="103"/>
        <v>1110.969745630257</v>
      </c>
      <c r="O69" s="773">
        <f t="shared" si="104"/>
        <v>267.68476363481818</v>
      </c>
      <c r="P69" s="771">
        <f t="shared" si="105"/>
        <v>4238.9983232351897</v>
      </c>
      <c r="Q69" s="519">
        <f t="shared" si="106"/>
        <v>14684.834889876343</v>
      </c>
      <c r="R69" s="521">
        <f t="shared" si="107"/>
        <v>1124.0619816898727</v>
      </c>
      <c r="S69" s="518">
        <f t="shared" si="108"/>
        <v>267.68476363481818</v>
      </c>
      <c r="T69" s="519">
        <f t="shared" si="109"/>
        <v>4238.9983232351897</v>
      </c>
      <c r="U69" s="519">
        <f t="shared" si="110"/>
        <v>20315.579958436225</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678.48076775867116</v>
      </c>
      <c r="D70" s="3">
        <f>'4B Biological treatment '!T123</f>
        <v>0.65649398471178499</v>
      </c>
      <c r="E70" s="1159">
        <f>'4B Biological treatment '!U123</f>
        <v>29.542229312030315</v>
      </c>
      <c r="F70" s="1159">
        <f>'4B Biological treatment '!W123</f>
        <v>1.7725337587218188</v>
      </c>
      <c r="G70" s="952">
        <f>'4C2 Open-burning '!R96</f>
        <v>27.410838406422805</v>
      </c>
      <c r="H70" s="952">
        <f>'4C2 Open-burning '!Z96</f>
        <v>9.2229079307306598</v>
      </c>
      <c r="I70" s="952">
        <f>'4C2 Open-burning '!AH96</f>
        <v>0.12839844493318359</v>
      </c>
      <c r="J70" s="987">
        <f>'4D Wastewater treatment and dis'!AV133</f>
        <v>159.10825087816576</v>
      </c>
      <c r="K70" s="770">
        <f>'4D Wastewater treatment and dis'!AW133</f>
        <v>3.166614228352143</v>
      </c>
      <c r="L70" s="771">
        <f t="shared" si="101"/>
        <v>14248.096122932095</v>
      </c>
      <c r="M70" s="772">
        <f t="shared" si="102"/>
        <v>13.786373678947484</v>
      </c>
      <c r="N70" s="771">
        <f t="shared" si="103"/>
        <v>1169.8722807564004</v>
      </c>
      <c r="O70" s="773">
        <f t="shared" si="104"/>
        <v>260.89542288105361</v>
      </c>
      <c r="P70" s="771">
        <f t="shared" si="105"/>
        <v>4322.9236792306456</v>
      </c>
      <c r="Q70" s="519">
        <f t="shared" si="106"/>
        <v>14248.096122932095</v>
      </c>
      <c r="R70" s="521">
        <f t="shared" si="107"/>
        <v>1183.6586544353479</v>
      </c>
      <c r="S70" s="518">
        <f t="shared" si="108"/>
        <v>260.89542288105361</v>
      </c>
      <c r="T70" s="519">
        <f t="shared" si="109"/>
        <v>4322.9236792306456</v>
      </c>
      <c r="U70" s="519">
        <f t="shared" si="110"/>
        <v>20015.573879479143</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657.98011308588991</v>
      </c>
      <c r="D71" s="3">
        <f>'4B Biological treatment '!T124</f>
        <v>0.69006827679480343</v>
      </c>
      <c r="E71" s="1159">
        <f>'4B Biological treatment '!U124</f>
        <v>31.053072455766156</v>
      </c>
      <c r="F71" s="1159">
        <f>'4B Biological treatment '!W124</f>
        <v>1.863184347345969</v>
      </c>
      <c r="G71" s="952">
        <f>'4C2 Open-burning '!R97</f>
        <v>26.730654512197241</v>
      </c>
      <c r="H71" s="952">
        <f>'4C2 Open-burning '!Z97</f>
        <v>8.994046874407104</v>
      </c>
      <c r="I71" s="952">
        <f>'4C2 Open-burning '!AH97</f>
        <v>0.12521231275465469</v>
      </c>
      <c r="J71" s="987">
        <f>'4D Wastewater treatment and dis'!AV134</f>
        <v>162.3622518163962</v>
      </c>
      <c r="K71" s="770">
        <f>'4D Wastewater treatment and dis'!AW134</f>
        <v>3.1977746441463193</v>
      </c>
      <c r="L71" s="771">
        <f t="shared" si="101"/>
        <v>13817.582374803687</v>
      </c>
      <c r="M71" s="772">
        <f t="shared" si="102"/>
        <v>14.491433812690872</v>
      </c>
      <c r="N71" s="771">
        <f t="shared" si="103"/>
        <v>1229.7016692483398</v>
      </c>
      <c r="O71" s="773">
        <f t="shared" si="104"/>
        <v>254.42145582868937</v>
      </c>
      <c r="P71" s="771">
        <f t="shared" si="105"/>
        <v>4400.9174278296796</v>
      </c>
      <c r="Q71" s="519">
        <f t="shared" si="106"/>
        <v>13817.582374803687</v>
      </c>
      <c r="R71" s="521">
        <f t="shared" si="107"/>
        <v>1244.1931030610308</v>
      </c>
      <c r="S71" s="518">
        <f t="shared" si="108"/>
        <v>254.42145582868937</v>
      </c>
      <c r="T71" s="519">
        <f t="shared" si="109"/>
        <v>4400.9174278296796</v>
      </c>
      <c r="U71" s="519">
        <f t="shared" si="110"/>
        <v>19717.114361523087</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637.59314822549641</v>
      </c>
      <c r="D72" s="3">
        <f>'4B Biological treatment '!T125</f>
        <v>0.72361041444147467</v>
      </c>
      <c r="E72" s="1159">
        <f>'4B Biological treatment '!U125</f>
        <v>32.562468649866361</v>
      </c>
      <c r="F72" s="1159">
        <f>'4B Biological treatment '!W125</f>
        <v>1.9537481189919812</v>
      </c>
      <c r="G72" s="952">
        <f>'4C2 Open-burning '!R98</f>
        <v>26.072963739036915</v>
      </c>
      <c r="H72" s="952">
        <f>'4C2 Open-burning '!Z98</f>
        <v>8.772754064686719</v>
      </c>
      <c r="I72" s="952">
        <f>'4C2 Open-burning '!AH98</f>
        <v>0.12213154334262161</v>
      </c>
      <c r="J72" s="987">
        <f>'4D Wastewater treatment and dis'!AV135</f>
        <v>165.66726312381803</v>
      </c>
      <c r="K72" s="770">
        <f>'4D Wastewater treatment and dis'!AW135</f>
        <v>3.2292880096339567</v>
      </c>
      <c r="L72" s="771">
        <f t="shared" si="101"/>
        <v>13389.456112735425</v>
      </c>
      <c r="M72" s="772">
        <f t="shared" si="102"/>
        <v>15.195818703270968</v>
      </c>
      <c r="N72" s="771">
        <f t="shared" si="103"/>
        <v>1289.4737585347077</v>
      </c>
      <c r="O72" s="773">
        <f t="shared" si="104"/>
        <v>248.16157753367071</v>
      </c>
      <c r="P72" s="771">
        <f t="shared" si="105"/>
        <v>4480.0918085867052</v>
      </c>
      <c r="Q72" s="519">
        <f t="shared" si="106"/>
        <v>13389.456112735425</v>
      </c>
      <c r="R72" s="521">
        <f t="shared" si="107"/>
        <v>1304.6695772379787</v>
      </c>
      <c r="S72" s="518">
        <f t="shared" si="108"/>
        <v>248.16157753367071</v>
      </c>
      <c r="T72" s="519">
        <f t="shared" si="109"/>
        <v>4480.0918085867052</v>
      </c>
      <c r="U72" s="519">
        <f t="shared" si="110"/>
        <v>19422.379076093777</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617.39031134710388</v>
      </c>
      <c r="D73" s="3">
        <f>'4B Biological treatment '!T126</f>
        <v>0.72702573700487716</v>
      </c>
      <c r="E73" s="1159">
        <f>'4B Biological treatment '!U126</f>
        <v>32.716158165219468</v>
      </c>
      <c r="F73" s="1159">
        <f>'4B Biological treatment '!W126</f>
        <v>1.962969489913168</v>
      </c>
      <c r="G73" s="952">
        <f>'4C2 Open-burning '!R99</f>
        <v>24.64329124548015</v>
      </c>
      <c r="H73" s="952">
        <f>'4C2 Open-burning '!Z99</f>
        <v>8.2917130405609285</v>
      </c>
      <c r="I73" s="952">
        <f>'4C2 Open-burning '!AH99</f>
        <v>0.11543464037983509</v>
      </c>
      <c r="J73" s="987">
        <f>'4D Wastewater treatment and dis'!AV136</f>
        <v>169.01861721537597</v>
      </c>
      <c r="K73" s="770">
        <f>'4D Wastewater treatment and dis'!AW136</f>
        <v>3.2610534820454951</v>
      </c>
      <c r="L73" s="771">
        <f t="shared" si="101"/>
        <v>12965.196538289181</v>
      </c>
      <c r="M73" s="772">
        <f t="shared" si="102"/>
        <v>15.26754047710242</v>
      </c>
      <c r="N73" s="771">
        <f t="shared" si="103"/>
        <v>1295.5598633426907</v>
      </c>
      <c r="O73" s="773">
        <f t="shared" si="104"/>
        <v>234.55400361500853</v>
      </c>
      <c r="P73" s="771">
        <f t="shared" si="105"/>
        <v>4560.3175409569985</v>
      </c>
      <c r="Q73" s="519">
        <f t="shared" si="106"/>
        <v>12965.196538289181</v>
      </c>
      <c r="R73" s="521">
        <f t="shared" si="107"/>
        <v>1310.8274038197931</v>
      </c>
      <c r="S73" s="518">
        <f t="shared" si="108"/>
        <v>234.55400361500853</v>
      </c>
      <c r="T73" s="519">
        <f t="shared" si="109"/>
        <v>4560.3175409569985</v>
      </c>
      <c r="U73" s="519">
        <f t="shared" si="110"/>
        <v>19070.89548668098</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597.73098797398791</v>
      </c>
      <c r="D74" s="3">
        <f>'4B Biological treatment '!T127</f>
        <v>0.7305540346149062</v>
      </c>
      <c r="E74" s="1159">
        <f>'4B Biological treatment '!U127</f>
        <v>32.874931557670777</v>
      </c>
      <c r="F74" s="1159">
        <f>'4B Biological treatment '!W127</f>
        <v>1.9724958934602463</v>
      </c>
      <c r="G74" s="952">
        <f>'4C2 Open-burning '!R100</f>
        <v>23.292838621939737</v>
      </c>
      <c r="H74" s="952">
        <f>'4C2 Open-burning '!Z100</f>
        <v>7.8373270773498049</v>
      </c>
      <c r="I74" s="952">
        <f>'4C2 Open-burning '!AH100</f>
        <v>0.10910882085372027</v>
      </c>
      <c r="J74" s="987">
        <f>'4D Wastewater treatment and dis'!AV137</f>
        <v>172.42199327322078</v>
      </c>
      <c r="K74" s="770">
        <f>'4D Wastewater treatment and dis'!AW137</f>
        <v>3.2931719041504954</v>
      </c>
      <c r="L74" s="771">
        <f t="shared" si="101"/>
        <v>12552.350747453745</v>
      </c>
      <c r="M74" s="772">
        <f t="shared" si="102"/>
        <v>15.34163472691303</v>
      </c>
      <c r="N74" s="771">
        <f t="shared" si="103"/>
        <v>1301.8472896837627</v>
      </c>
      <c r="O74" s="773">
        <f t="shared" si="104"/>
        <v>221.70044171093895</v>
      </c>
      <c r="P74" s="771">
        <f t="shared" si="105"/>
        <v>4641.7451490242902</v>
      </c>
      <c r="Q74" s="519">
        <f t="shared" si="106"/>
        <v>12552.350747453745</v>
      </c>
      <c r="R74" s="521">
        <f t="shared" si="107"/>
        <v>1317.1889244106758</v>
      </c>
      <c r="S74" s="518">
        <f t="shared" si="108"/>
        <v>221.70044171093895</v>
      </c>
      <c r="T74" s="519">
        <f t="shared" si="109"/>
        <v>4641.7451490242902</v>
      </c>
      <c r="U74" s="519">
        <f t="shared" si="110"/>
        <v>18732.98526259965</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578.62003617800394</v>
      </c>
      <c r="D75" s="3">
        <f>'4B Biological treatment '!T128</f>
        <v>0.73420573573740433</v>
      </c>
      <c r="E75" s="1159">
        <f>'4B Biological treatment '!U128</f>
        <v>33.039258108183191</v>
      </c>
      <c r="F75" s="1159">
        <f>'4B Biological treatment '!W128</f>
        <v>1.9823554864909911</v>
      </c>
      <c r="G75" s="952">
        <f>'4C2 Open-burning '!R101</f>
        <v>22.017271220067308</v>
      </c>
      <c r="H75" s="952">
        <f>'4C2 Open-burning '!Z101</f>
        <v>7.4081376985909939</v>
      </c>
      <c r="I75" s="952">
        <f>'4C2 Open-burning '!AH101</f>
        <v>0.10313378031028674</v>
      </c>
      <c r="J75" s="987">
        <f>'4D Wastewater treatment and dis'!AV138</f>
        <v>175.87528378312254</v>
      </c>
      <c r="K75" s="770">
        <f>'4D Wastewater treatment and dis'!AW138</f>
        <v>3.3255928545641762</v>
      </c>
      <c r="L75" s="771">
        <f t="shared" si="101"/>
        <v>12151.020759738083</v>
      </c>
      <c r="M75" s="772">
        <f t="shared" si="102"/>
        <v>15.41832045048549</v>
      </c>
      <c r="N75" s="771">
        <f t="shared" si="103"/>
        <v>1308.3546210840541</v>
      </c>
      <c r="O75" s="773">
        <f t="shared" si="104"/>
        <v>209.55963478666706</v>
      </c>
      <c r="P75" s="771">
        <f t="shared" si="105"/>
        <v>4724.3147443604685</v>
      </c>
      <c r="Q75" s="519">
        <f t="shared" si="106"/>
        <v>12151.020759738083</v>
      </c>
      <c r="R75" s="521">
        <f t="shared" si="107"/>
        <v>1323.7729415345395</v>
      </c>
      <c r="S75" s="518">
        <f t="shared" si="108"/>
        <v>209.55963478666706</v>
      </c>
      <c r="T75" s="519">
        <f t="shared" si="109"/>
        <v>4724.3147443604685</v>
      </c>
      <c r="U75" s="519">
        <f t="shared" si="110"/>
        <v>18408.66808041976</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560.06219017820149</v>
      </c>
      <c r="D76" s="3">
        <f>'4B Biological treatment '!T129</f>
        <v>0.73859047110474463</v>
      </c>
      <c r="E76" s="1159">
        <f>'4B Biological treatment '!U129</f>
        <v>33.236571199713502</v>
      </c>
      <c r="F76" s="1159">
        <f>'4B Biological treatment '!W129</f>
        <v>1.9941942719828099</v>
      </c>
      <c r="G76" s="952">
        <f>'4C2 Open-burning '!R102</f>
        <v>20.920968124892415</v>
      </c>
      <c r="H76" s="952">
        <f>'4C2 Open-burning '!Z102</f>
        <v>7.0392652707923649</v>
      </c>
      <c r="I76" s="952">
        <f>'4C2 Open-burning '!AH102</f>
        <v>9.7998453527910451E-2</v>
      </c>
      <c r="J76" s="987">
        <f>'4D Wastewater treatment and dis'!AV139</f>
        <v>179.14735481190519</v>
      </c>
      <c r="K76" s="770">
        <f>'4D Wastewater treatment and dis'!AW139</f>
        <v>3.3539800941954407</v>
      </c>
      <c r="L76" s="771">
        <f t="shared" si="101"/>
        <v>11761.305993742231</v>
      </c>
      <c r="M76" s="772">
        <f t="shared" si="102"/>
        <v>15.510399893199637</v>
      </c>
      <c r="N76" s="771">
        <f t="shared" si="103"/>
        <v>1316.1682195086546</v>
      </c>
      <c r="O76" s="773">
        <f t="shared" si="104"/>
        <v>199.12505940518434</v>
      </c>
      <c r="P76" s="771">
        <f t="shared" si="105"/>
        <v>4801.8282802505955</v>
      </c>
      <c r="Q76" s="519">
        <f t="shared" si="106"/>
        <v>11761.305993742231</v>
      </c>
      <c r="R76" s="521">
        <f t="shared" si="107"/>
        <v>1331.6786194018543</v>
      </c>
      <c r="S76" s="518">
        <f t="shared" si="108"/>
        <v>199.12505940518434</v>
      </c>
      <c r="T76" s="519">
        <f t="shared" si="109"/>
        <v>4801.8282802505955</v>
      </c>
      <c r="U76" s="519">
        <f t="shared" si="110"/>
        <v>18093.937952799864</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541.92359453508186</v>
      </c>
      <c r="D77" s="3">
        <f>'4B Biological treatment '!T130</f>
        <v>0.74276924427169644</v>
      </c>
      <c r="E77" s="1159">
        <f>'4B Biological treatment '!U130</f>
        <v>33.424615992226336</v>
      </c>
      <c r="F77" s="1159">
        <f>'4B Biological treatment '!W130</f>
        <v>2.00547695953358</v>
      </c>
      <c r="G77" s="952">
        <f>'4C2 Open-burning '!R103</f>
        <v>19.830695052577632</v>
      </c>
      <c r="H77" s="952">
        <f>'4C2 Open-burning '!Z103</f>
        <v>6.6724217610747676</v>
      </c>
      <c r="I77" s="952">
        <f>'4C2 Open-burning '!AH103</f>
        <v>9.2891372709654974E-2</v>
      </c>
      <c r="J77" s="987">
        <f>'4D Wastewater treatment and dis'!AV140</f>
        <v>182.46300004329916</v>
      </c>
      <c r="K77" s="770">
        <f>'4D Wastewater treatment and dis'!AW140</f>
        <v>3.3826194407506049</v>
      </c>
      <c r="L77" s="771">
        <f t="shared" si="101"/>
        <v>11380.395485236719</v>
      </c>
      <c r="M77" s="772">
        <f t="shared" si="102"/>
        <v>15.598154129705625</v>
      </c>
      <c r="N77" s="771">
        <f t="shared" si="103"/>
        <v>1323.6147932921629</v>
      </c>
      <c r="O77" s="773">
        <f t="shared" si="104"/>
        <v>188.74787757514079</v>
      </c>
      <c r="P77" s="771">
        <f t="shared" si="105"/>
        <v>4880.3350275419698</v>
      </c>
      <c r="Q77" s="519">
        <f t="shared" si="106"/>
        <v>11380.395485236719</v>
      </c>
      <c r="R77" s="521">
        <f t="shared" si="107"/>
        <v>1339.2129474218684</v>
      </c>
      <c r="S77" s="518">
        <f t="shared" si="108"/>
        <v>188.74787757514079</v>
      </c>
      <c r="T77" s="519">
        <f t="shared" si="109"/>
        <v>4880.3350275419698</v>
      </c>
      <c r="U77" s="519">
        <f t="shared" si="110"/>
        <v>17788.691337775697</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524.17602169253962</v>
      </c>
      <c r="D78" s="3">
        <f>'4B Biological treatment '!T131</f>
        <v>0.74741034609099699</v>
      </c>
      <c r="E78" s="1159">
        <f>'4B Biological treatment '!U131</f>
        <v>33.633465574094863</v>
      </c>
      <c r="F78" s="1159">
        <f>'4B Biological treatment '!W131</f>
        <v>2.0180079344456914</v>
      </c>
      <c r="G78" s="952">
        <f>'4C2 Open-burning '!R104</f>
        <v>18.746420495727179</v>
      </c>
      <c r="H78" s="952">
        <f>'4C2 Open-burning '!Z104</f>
        <v>6.3075965681641302</v>
      </c>
      <c r="I78" s="952">
        <f>'4C2 Open-burning '!AH104</f>
        <v>8.781239026789231E-2</v>
      </c>
      <c r="J78" s="987">
        <f>'4D Wastewater treatment and dis'!AV141</f>
        <v>185.81987237428893</v>
      </c>
      <c r="K78" s="770">
        <f>'4D Wastewater treatment and dis'!AW141</f>
        <v>3.4114604728448907</v>
      </c>
      <c r="L78" s="771">
        <f t="shared" si="101"/>
        <v>11007.696455543331</v>
      </c>
      <c r="M78" s="772">
        <f t="shared" si="102"/>
        <v>15.695617267910936</v>
      </c>
      <c r="N78" s="771">
        <f t="shared" si="103"/>
        <v>1331.8852367341565</v>
      </c>
      <c r="O78" s="773">
        <f t="shared" si="104"/>
        <v>178.4277894102205</v>
      </c>
      <c r="P78" s="771">
        <f t="shared" si="105"/>
        <v>4959.7700664419835</v>
      </c>
      <c r="Q78" s="519">
        <f t="shared" si="106"/>
        <v>11007.696455543331</v>
      </c>
      <c r="R78" s="521">
        <f t="shared" si="107"/>
        <v>1347.5808540020673</v>
      </c>
      <c r="S78" s="518">
        <f t="shared" si="108"/>
        <v>178.4277894102205</v>
      </c>
      <c r="T78" s="519">
        <f t="shared" si="109"/>
        <v>4959.7700664419835</v>
      </c>
      <c r="U78" s="519">
        <f t="shared" si="110"/>
        <v>17493.475165397602</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506.79503134896328</v>
      </c>
      <c r="D79" s="3">
        <f>'4B Biological treatment '!T132</f>
        <v>0.75237299227377297</v>
      </c>
      <c r="E79" s="1159">
        <f>'4B Biological treatment '!U132</f>
        <v>33.856784652319782</v>
      </c>
      <c r="F79" s="1159">
        <f>'4B Biological treatment '!W132</f>
        <v>2.0314070791391865</v>
      </c>
      <c r="G79" s="952">
        <f>'4C2 Open-burning '!R105</f>
        <v>17.667863644831936</v>
      </c>
      <c r="H79" s="952">
        <f>'4C2 Open-burning '!Z105</f>
        <v>5.9446952082577216</v>
      </c>
      <c r="I79" s="952">
        <f>'4C2 Open-burning '!AH105</f>
        <v>8.2760190828617519E-2</v>
      </c>
      <c r="J79" s="987">
        <f>'4D Wastewater treatment and dis'!AV142</f>
        <v>189.22383733385854</v>
      </c>
      <c r="K79" s="770">
        <f>'4D Wastewater treatment and dis'!AW142</f>
        <v>3.4406040332478574</v>
      </c>
      <c r="L79" s="771">
        <f t="shared" si="101"/>
        <v>10642.695658328228</v>
      </c>
      <c r="M79" s="772">
        <f t="shared" si="102"/>
        <v>15.799832837749232</v>
      </c>
      <c r="N79" s="771">
        <f t="shared" si="103"/>
        <v>1340.7286722318631</v>
      </c>
      <c r="O79" s="773">
        <f t="shared" si="104"/>
        <v>168.16212217511551</v>
      </c>
      <c r="P79" s="771">
        <f t="shared" si="105"/>
        <v>5040.2878343178654</v>
      </c>
      <c r="Q79" s="519">
        <f t="shared" si="106"/>
        <v>10642.695658328228</v>
      </c>
      <c r="R79" s="521">
        <f t="shared" si="107"/>
        <v>1356.5285050696123</v>
      </c>
      <c r="S79" s="518">
        <f t="shared" si="108"/>
        <v>168.16212217511551</v>
      </c>
      <c r="T79" s="519">
        <f t="shared" si="109"/>
        <v>5040.2878343178654</v>
      </c>
      <c r="U79" s="519">
        <f t="shared" si="110"/>
        <v>17207.67411989082</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489.75686326642938</v>
      </c>
      <c r="D80" s="3">
        <f>'4B Biological treatment '!T133</f>
        <v>0.7576771707128892</v>
      </c>
      <c r="E80" s="1159">
        <f>'4B Biological treatment '!U133</f>
        <v>34.095472682080015</v>
      </c>
      <c r="F80" s="1159">
        <f>'4B Biological treatment '!W133</f>
        <v>2.0457283609248007</v>
      </c>
      <c r="G80" s="952">
        <f>'4C2 Open-burning '!R106</f>
        <v>16.59507190426114</v>
      </c>
      <c r="H80" s="952">
        <f>'4C2 Open-burning '!Z106</f>
        <v>5.5837336314744892</v>
      </c>
      <c r="I80" s="952">
        <f>'4C2 Open-burning '!AH106</f>
        <v>7.7734996444407151E-2</v>
      </c>
      <c r="J80" s="987">
        <f>'4D Wastewater treatment and dis'!AV143</f>
        <v>192.66977478035747</v>
      </c>
      <c r="K80" s="770">
        <f>'4D Wastewater treatment and dis'!AW143</f>
        <v>3.4699492791899456</v>
      </c>
      <c r="L80" s="771">
        <f t="shared" si="101"/>
        <v>10284.894128595017</v>
      </c>
      <c r="M80" s="772">
        <f t="shared" si="102"/>
        <v>15.911220584970673</v>
      </c>
      <c r="N80" s="771">
        <f t="shared" si="103"/>
        <v>1350.1807182103685</v>
      </c>
      <c r="O80" s="773">
        <f t="shared" si="104"/>
        <v>157.95132706299165</v>
      </c>
      <c r="P80" s="771">
        <f t="shared" si="105"/>
        <v>5121.7495469363903</v>
      </c>
      <c r="Q80" s="519">
        <f t="shared" si="106"/>
        <v>10284.894128595017</v>
      </c>
      <c r="R80" s="521">
        <f t="shared" si="107"/>
        <v>1366.091938795339</v>
      </c>
      <c r="S80" s="518">
        <f t="shared" si="108"/>
        <v>157.95132706299165</v>
      </c>
      <c r="T80" s="519">
        <f t="shared" si="109"/>
        <v>5121.7495469363903</v>
      </c>
      <c r="U80" s="519">
        <f t="shared" si="110"/>
        <v>16930.68694138974</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473.03887318424324</v>
      </c>
      <c r="D81" s="3">
        <f>'4B Biological treatment '!T134</f>
        <v>0.76313821065905252</v>
      </c>
      <c r="E81" s="1159">
        <f>'4B Biological treatment '!U134</f>
        <v>34.341219479657354</v>
      </c>
      <c r="F81" s="1159">
        <f>'4B Biological treatment '!W134</f>
        <v>2.0604731687794411</v>
      </c>
      <c r="G81" s="952">
        <f>'4C2 Open-burning '!R107</f>
        <v>15.53315286100764</v>
      </c>
      <c r="H81" s="952">
        <f>'4C2 Open-burning '!Z107</f>
        <v>5.22643038446685</v>
      </c>
      <c r="I81" s="952">
        <f>'4C2 Open-burning '!AH107</f>
        <v>7.2760732185247007E-2</v>
      </c>
      <c r="J81" s="987">
        <f>'4D Wastewater treatment and dis'!AV144</f>
        <v>195.92624915733671</v>
      </c>
      <c r="K81" s="770">
        <f>'4D Wastewater treatment and dis'!AW144</f>
        <v>3.4953616571191763</v>
      </c>
      <c r="L81" s="771">
        <f t="shared" si="101"/>
        <v>9933.8163368691075</v>
      </c>
      <c r="M81" s="772">
        <f t="shared" si="102"/>
        <v>16.025902423840101</v>
      </c>
      <c r="N81" s="771">
        <f t="shared" si="103"/>
        <v>1359.9122913944311</v>
      </c>
      <c r="O81" s="773">
        <f t="shared" si="104"/>
        <v>147.84401791223806</v>
      </c>
      <c r="P81" s="771">
        <f t="shared" si="105"/>
        <v>5198.0133460110155</v>
      </c>
      <c r="Q81" s="519">
        <f t="shared" si="106"/>
        <v>9933.8163368691075</v>
      </c>
      <c r="R81" s="521">
        <f t="shared" si="107"/>
        <v>1375.9381938182712</v>
      </c>
      <c r="S81" s="518">
        <f t="shared" si="108"/>
        <v>147.84401791223806</v>
      </c>
      <c r="T81" s="519">
        <f t="shared" si="109"/>
        <v>5198.0133460110155</v>
      </c>
      <c r="U81" s="519">
        <f t="shared" si="110"/>
        <v>16655.611894610629</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457.06963876802348</v>
      </c>
      <c r="D82" s="3">
        <f>'4B Biological treatment '!T135</f>
        <v>0.76883171848962029</v>
      </c>
      <c r="E82" s="1159">
        <f>'4B Biological treatment '!U135</f>
        <v>34.597427332032908</v>
      </c>
      <c r="F82" s="1159">
        <f>'4B Biological treatment '!W135</f>
        <v>2.0758456399219742</v>
      </c>
      <c r="G82" s="952">
        <f>'4C2 Open-burning '!R108</f>
        <v>15.156271625070209</v>
      </c>
      <c r="H82" s="952">
        <f>'4C2 Open-burning '!Z108</f>
        <v>5.0996213869333609</v>
      </c>
      <c r="I82" s="952">
        <f>'4C2 Open-burning '!AH108</f>
        <v>7.0995336909795537E-2</v>
      </c>
      <c r="J82" s="987">
        <f>'4D Wastewater treatment and dis'!AV145</f>
        <v>199.21811618301393</v>
      </c>
      <c r="K82" s="770">
        <f>'4D Wastewater treatment and dis'!AW145</f>
        <v>3.5209252992027475</v>
      </c>
      <c r="L82" s="771">
        <f t="shared" si="101"/>
        <v>9598.462414128493</v>
      </c>
      <c r="M82" s="772">
        <f t="shared" si="102"/>
        <v>16.145466088282028</v>
      </c>
      <c r="N82" s="771">
        <f t="shared" si="103"/>
        <v>1370.058122348503</v>
      </c>
      <c r="O82" s="773">
        <f t="shared" si="104"/>
        <v>144.25687519270741</v>
      </c>
      <c r="P82" s="771">
        <f t="shared" si="105"/>
        <v>5275.0672825961447</v>
      </c>
      <c r="Q82" s="519">
        <f t="shared" si="106"/>
        <v>9598.462414128493</v>
      </c>
      <c r="R82" s="521">
        <f t="shared" si="107"/>
        <v>1386.2035884367851</v>
      </c>
      <c r="S82" s="518">
        <f t="shared" si="108"/>
        <v>144.25687519270741</v>
      </c>
      <c r="T82" s="519">
        <f t="shared" si="109"/>
        <v>5275.0672825961447</v>
      </c>
      <c r="U82" s="519">
        <f t="shared" si="110"/>
        <v>16403.990160354129</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442.09231005939222</v>
      </c>
      <c r="D83" s="3">
        <f>'4B Biological treatment '!T136</f>
        <v>0.77461213020220843</v>
      </c>
      <c r="E83" s="1159">
        <f>'4B Biological treatment '!U136</f>
        <v>34.857545859099375</v>
      </c>
      <c r="F83" s="1159">
        <f>'4B Biological treatment '!W136</f>
        <v>2.0914527515459622</v>
      </c>
      <c r="G83" s="952">
        <f>'4C2 Open-burning '!R109</f>
        <v>14.476939050213112</v>
      </c>
      <c r="H83" s="952">
        <f>'4C2 Open-burning '!Z109</f>
        <v>4.8710467735138341</v>
      </c>
      <c r="I83" s="952">
        <f>'4C2 Open-burning '!AH109</f>
        <v>6.7813192499952588E-2</v>
      </c>
      <c r="J83" s="987">
        <f>'4D Wastewater treatment and dis'!AV146</f>
        <v>202.55137449125439</v>
      </c>
      <c r="K83" s="770">
        <f>'4D Wastewater treatment and dis'!AW146</f>
        <v>3.5467410482102202</v>
      </c>
      <c r="L83" s="771">
        <f t="shared" si="101"/>
        <v>9283.9385112472373</v>
      </c>
      <c r="M83" s="772">
        <f t="shared" si="102"/>
        <v>16.266854734246376</v>
      </c>
      <c r="N83" s="771">
        <f t="shared" si="103"/>
        <v>1380.3588160203353</v>
      </c>
      <c r="O83" s="773">
        <f t="shared" si="104"/>
        <v>137.79101096898893</v>
      </c>
      <c r="P83" s="771">
        <f t="shared" si="105"/>
        <v>5353.0685892615111</v>
      </c>
      <c r="Q83" s="519">
        <f t="shared" si="106"/>
        <v>9283.9385112472373</v>
      </c>
      <c r="R83" s="521">
        <f t="shared" si="107"/>
        <v>1396.6256707545817</v>
      </c>
      <c r="S83" s="518">
        <f t="shared" si="108"/>
        <v>137.79101096898893</v>
      </c>
      <c r="T83" s="519">
        <f t="shared" si="109"/>
        <v>5353.0685892615111</v>
      </c>
      <c r="U83" s="519">
        <f t="shared" si="110"/>
        <v>16171.423782232319</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427.94948451119546</v>
      </c>
      <c r="D84" s="3">
        <f>'4B Biological treatment '!T137</f>
        <v>0.78063022403212257</v>
      </c>
      <c r="E84" s="1159">
        <f>'4B Biological treatment '!U137</f>
        <v>35.128360081445507</v>
      </c>
      <c r="F84" s="1159">
        <f>'4B Biological treatment '!W137</f>
        <v>2.1077016048867305</v>
      </c>
      <c r="G84" s="952">
        <f>'4C2 Open-burning '!R110</f>
        <v>13.800636214068192</v>
      </c>
      <c r="H84" s="952">
        <f>'4C2 Open-burning '!Z110</f>
        <v>4.6434915744143757</v>
      </c>
      <c r="I84" s="952">
        <f>'4C2 Open-burning '!AH110</f>
        <v>6.4645240058025008E-2</v>
      </c>
      <c r="J84" s="987">
        <f>'4D Wastewater treatment and dis'!AV147</f>
        <v>205.92061110966921</v>
      </c>
      <c r="K84" s="770">
        <f>'4D Wastewater treatment and dis'!AW147</f>
        <v>3.5727080613720332</v>
      </c>
      <c r="L84" s="771">
        <f t="shared" si="101"/>
        <v>8986.9391747351056</v>
      </c>
      <c r="M84" s="772">
        <f t="shared" si="102"/>
        <v>16.393234704674573</v>
      </c>
      <c r="N84" s="771">
        <f t="shared" si="103"/>
        <v>1391.0830592252421</v>
      </c>
      <c r="O84" s="773">
        <f t="shared" si="104"/>
        <v>131.35398369475783</v>
      </c>
      <c r="P84" s="771">
        <f t="shared" si="105"/>
        <v>5431.872332328383</v>
      </c>
      <c r="Q84" s="519">
        <f t="shared" si="106"/>
        <v>8986.9391747351056</v>
      </c>
      <c r="R84" s="521">
        <f t="shared" si="107"/>
        <v>1407.4762939299167</v>
      </c>
      <c r="S84" s="518">
        <f t="shared" si="108"/>
        <v>131.35398369475783</v>
      </c>
      <c r="T84" s="519">
        <f t="shared" si="109"/>
        <v>5431.872332328383</v>
      </c>
      <c r="U84" s="519">
        <f t="shared" si="110"/>
        <v>15957.641784688163</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414.61151099132121</v>
      </c>
      <c r="D85" s="3">
        <f>'4B Biological treatment '!T138</f>
        <v>0.78701679032180316</v>
      </c>
      <c r="E85" s="1159">
        <f>'4B Biological treatment '!U138</f>
        <v>35.415755564481138</v>
      </c>
      <c r="F85" s="1159">
        <f>'4B Biological treatment '!W138</f>
        <v>2.124945333868868</v>
      </c>
      <c r="G85" s="952">
        <f>'4C2 Open-burning '!R111</f>
        <v>13.12730681731334</v>
      </c>
      <c r="H85" s="952">
        <f>'4C2 Open-burning '!Z111</f>
        <v>4.4169368466367205</v>
      </c>
      <c r="I85" s="952">
        <f>'4C2 Open-burning '!AH111</f>
        <v>6.1491215865504718E-2</v>
      </c>
      <c r="J85" s="987">
        <f>'4D Wastewater treatment and dis'!AV148</f>
        <v>209.32606562704407</v>
      </c>
      <c r="K85" s="770">
        <f>'4D Wastewater treatment and dis'!AW148</f>
        <v>3.5988263386881876</v>
      </c>
      <c r="L85" s="771">
        <f t="shared" si="101"/>
        <v>8706.841730817745</v>
      </c>
      <c r="M85" s="772">
        <f t="shared" si="102"/>
        <v>16.527352596757865</v>
      </c>
      <c r="N85" s="771">
        <f t="shared" si="103"/>
        <v>1402.463920353453</v>
      </c>
      <c r="O85" s="773">
        <f t="shared" si="104"/>
        <v>124.94525751499094</v>
      </c>
      <c r="P85" s="771">
        <f t="shared" si="105"/>
        <v>5511.4835431612637</v>
      </c>
      <c r="Q85" s="519">
        <f t="shared" si="106"/>
        <v>8706.841730817745</v>
      </c>
      <c r="R85" s="521">
        <f t="shared" si="107"/>
        <v>1418.9912729502109</v>
      </c>
      <c r="S85" s="518">
        <f t="shared" si="108"/>
        <v>124.94525751499094</v>
      </c>
      <c r="T85" s="519">
        <f t="shared" si="109"/>
        <v>5511.4835431612637</v>
      </c>
      <c r="U85" s="519">
        <f t="shared" si="110"/>
        <v>15762.26180444421</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402.05037913615467</v>
      </c>
      <c r="D86" s="3">
        <f>'4B Biological treatment '!T139</f>
        <v>0.79366624085459558</v>
      </c>
      <c r="E86" s="1159">
        <f>'4B Biological treatment '!U139</f>
        <v>35.714980838456796</v>
      </c>
      <c r="F86" s="1159">
        <f>'4B Biological treatment '!W139</f>
        <v>2.1428988503074073</v>
      </c>
      <c r="G86" s="952">
        <f>'4C2 Open-burning '!R112</f>
        <v>12.460532957747674</v>
      </c>
      <c r="H86" s="952">
        <f>'4C2 Open-burning '!Z112</f>
        <v>4.192587856423013</v>
      </c>
      <c r="I86" s="952">
        <f>'4C2 Open-burning '!AH112</f>
        <v>5.8367899262745576E-2</v>
      </c>
      <c r="J86" s="987">
        <f>'4D Wastewater treatment and dis'!AV149</f>
        <v>212.54010495110225</v>
      </c>
      <c r="K86" s="770">
        <f>'4D Wastewater treatment and dis'!AW149</f>
        <v>3.6212134335306052</v>
      </c>
      <c r="L86" s="771">
        <f t="shared" si="101"/>
        <v>8443.0579618592474</v>
      </c>
      <c r="M86" s="772">
        <f t="shared" si="102"/>
        <v>16.666991057946507</v>
      </c>
      <c r="N86" s="771">
        <f t="shared" si="103"/>
        <v>1414.313241202889</v>
      </c>
      <c r="O86" s="773">
        <f t="shared" si="104"/>
        <v>118.59892671408207</v>
      </c>
      <c r="P86" s="771">
        <f t="shared" si="105"/>
        <v>5585.9183683676356</v>
      </c>
      <c r="Q86" s="519">
        <f t="shared" si="106"/>
        <v>8443.0579618592474</v>
      </c>
      <c r="R86" s="521">
        <f t="shared" si="107"/>
        <v>1430.9802322608355</v>
      </c>
      <c r="S86" s="518">
        <f t="shared" si="108"/>
        <v>118.59892671408207</v>
      </c>
      <c r="T86" s="519">
        <f t="shared" si="109"/>
        <v>5585.9183683676356</v>
      </c>
      <c r="U86" s="519">
        <f t="shared" si="110"/>
        <v>15578.555489201801</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389.84597313288901</v>
      </c>
      <c r="D87" s="3">
        <f>'4B Biological treatment '!T140</f>
        <v>0.80059943256218458</v>
      </c>
      <c r="E87" s="1159">
        <f>'4B Biological treatment '!U140</f>
        <v>36.026974465298309</v>
      </c>
      <c r="F87" s="1159">
        <f>'4B Biological treatment '!W140</f>
        <v>2.161618467917898</v>
      </c>
      <c r="G87" s="952">
        <f>'4C2 Open-burning '!R113</f>
        <v>11.796174043075855</v>
      </c>
      <c r="H87" s="952">
        <f>'4C2 Open-burning '!Z113</f>
        <v>3.9690514212316472</v>
      </c>
      <c r="I87" s="952">
        <f>'4C2 Open-burning '!AH113</f>
        <v>5.5255894797337793E-2</v>
      </c>
      <c r="J87" s="987">
        <f>'4D Wastewater treatment and dis'!AV150</f>
        <v>215.78375571491307</v>
      </c>
      <c r="K87" s="770">
        <f>'4D Wastewater treatment and dis'!AW150</f>
        <v>3.643701371142583</v>
      </c>
      <c r="L87" s="771">
        <f t="shared" si="101"/>
        <v>8186.7654357906695</v>
      </c>
      <c r="M87" s="772">
        <f t="shared" si="102"/>
        <v>16.812588083805878</v>
      </c>
      <c r="N87" s="771">
        <f t="shared" si="103"/>
        <v>1426.6681888258129</v>
      </c>
      <c r="O87" s="773">
        <f t="shared" si="104"/>
        <v>112.27558127611516</v>
      </c>
      <c r="P87" s="771">
        <f t="shared" si="105"/>
        <v>5661.0062950673746</v>
      </c>
      <c r="Q87" s="519">
        <f t="shared" si="106"/>
        <v>8186.7654357906695</v>
      </c>
      <c r="R87" s="521">
        <f t="shared" si="107"/>
        <v>1443.4807769096187</v>
      </c>
      <c r="S87" s="518">
        <f t="shared" si="108"/>
        <v>112.27558127611516</v>
      </c>
      <c r="T87" s="519">
        <f t="shared" si="109"/>
        <v>5661.0062950673746</v>
      </c>
      <c r="U87" s="519">
        <f t="shared" si="110"/>
        <v>15403.528089043777</v>
      </c>
    </row>
    <row r="88" spans="1:43">
      <c r="A88" s="4">
        <f>'Input data'!A143</f>
        <v>2043</v>
      </c>
      <c r="B88" s="4"/>
      <c r="C88" s="769">
        <f>'4A SWD Case 1'!BN113</f>
        <v>377.99083758879095</v>
      </c>
      <c r="D88" s="3">
        <f>'4B Biological treatment '!T141</f>
        <v>0.80779898466816624</v>
      </c>
      <c r="E88" s="1159">
        <f>'4B Biological treatment '!U141</f>
        <v>36.350954310067479</v>
      </c>
      <c r="F88" s="1159">
        <f>'4B Biological treatment '!W141</f>
        <v>2.1810572586040484</v>
      </c>
      <c r="G88" s="952">
        <f>'4C2 Open-burning '!R114</f>
        <v>11.134149142146203</v>
      </c>
      <c r="H88" s="952">
        <f>'4C2 Open-burning '!Z114</f>
        <v>3.7463003102078201</v>
      </c>
      <c r="I88" s="952">
        <f>'4C2 Open-burning '!AH114</f>
        <v>5.2154823369821926E-2</v>
      </c>
      <c r="J88" s="987">
        <f>'4D Wastewater treatment and dis'!AV151</f>
        <v>219.06019027175444</v>
      </c>
      <c r="K88" s="770">
        <f>'4D Wastewater treatment and dis'!AW151</f>
        <v>3.6663405729089016</v>
      </c>
      <c r="L88" s="771">
        <f t="shared" si="101"/>
        <v>7937.8075893646101</v>
      </c>
      <c r="M88" s="772">
        <f t="shared" si="102"/>
        <v>16.963778678031492</v>
      </c>
      <c r="N88" s="771">
        <f t="shared" si="103"/>
        <v>1439.4977906786721</v>
      </c>
      <c r="O88" s="773">
        <f t="shared" si="104"/>
        <v>105.97445090115522</v>
      </c>
      <c r="P88" s="771">
        <f t="shared" si="105"/>
        <v>5736.8295733086024</v>
      </c>
      <c r="Q88" s="519">
        <f t="shared" si="106"/>
        <v>7937.8075893646101</v>
      </c>
      <c r="R88" s="521">
        <f t="shared" si="107"/>
        <v>1456.4615693567036</v>
      </c>
      <c r="S88" s="518">
        <f t="shared" si="108"/>
        <v>105.97445090115522</v>
      </c>
      <c r="T88" s="519">
        <f t="shared" si="109"/>
        <v>5736.8295733086024</v>
      </c>
      <c r="U88" s="519">
        <f t="shared" si="110"/>
        <v>15237.073182931072</v>
      </c>
    </row>
    <row r="89" spans="1:43">
      <c r="A89" s="4">
        <f>'Input data'!A144</f>
        <v>2044</v>
      </c>
      <c r="B89" s="4"/>
      <c r="C89" s="769">
        <f>'4A SWD Case 1'!BN114</f>
        <v>366.47759446980086</v>
      </c>
      <c r="D89" s="3">
        <f>'4B Biological treatment '!T142</f>
        <v>0.81530356940003967</v>
      </c>
      <c r="E89" s="1159">
        <f>'4B Biological treatment '!U142</f>
        <v>36.68866062300178</v>
      </c>
      <c r="F89" s="1159">
        <f>'4B Biological treatment '!W142</f>
        <v>2.2013196373801067</v>
      </c>
      <c r="G89" s="952">
        <f>'4C2 Open-burning '!R115</f>
        <v>10.474466199173415</v>
      </c>
      <c r="H89" s="952">
        <f>'4C2 Open-burning '!Z115</f>
        <v>3.5243371963365622</v>
      </c>
      <c r="I89" s="952">
        <f>'4C2 Open-burning '!AH115</f>
        <v>4.90647221926611E-2</v>
      </c>
      <c r="J89" s="987">
        <f>'4D Wastewater treatment and dis'!AV152</f>
        <v>222.36660896201545</v>
      </c>
      <c r="K89" s="770">
        <f>'4D Wastewater treatment and dis'!AW152</f>
        <v>3.6890806174447812</v>
      </c>
      <c r="L89" s="771">
        <f t="shared" si="101"/>
        <v>7696.0294838658183</v>
      </c>
      <c r="M89" s="772">
        <f t="shared" si="102"/>
        <v>17.121374957400832</v>
      </c>
      <c r="N89" s="771">
        <f t="shared" si="103"/>
        <v>1452.8709606708703</v>
      </c>
      <c r="O89" s="773">
        <f t="shared" si="104"/>
        <v>99.695611201966173</v>
      </c>
      <c r="P89" s="771">
        <f t="shared" si="105"/>
        <v>5813.3137796102064</v>
      </c>
      <c r="Q89" s="519">
        <f t="shared" si="106"/>
        <v>7696.0294838658183</v>
      </c>
      <c r="R89" s="521">
        <f t="shared" si="107"/>
        <v>1469.9923356282711</v>
      </c>
      <c r="S89" s="518">
        <f t="shared" si="108"/>
        <v>99.695611201966173</v>
      </c>
      <c r="T89" s="519">
        <f t="shared" si="109"/>
        <v>5813.3137796102064</v>
      </c>
      <c r="U89" s="519">
        <f t="shared" si="110"/>
        <v>15079.031210306264</v>
      </c>
    </row>
    <row r="90" spans="1:43">
      <c r="A90" s="4">
        <f>'Input data'!A145</f>
        <v>2045</v>
      </c>
      <c r="B90" s="4"/>
      <c r="C90" s="769">
        <f>'4A SWD Case 1'!BN115</f>
        <v>355.29902718906879</v>
      </c>
      <c r="D90" s="3">
        <f>'4B Biological treatment '!T143</f>
        <v>0.82327395893954247</v>
      </c>
      <c r="E90" s="1159">
        <f>'4B Biological treatment '!U143</f>
        <v>37.047328152279405</v>
      </c>
      <c r="F90" s="1159">
        <f>'4B Biological treatment '!W143</f>
        <v>2.2228396891367641</v>
      </c>
      <c r="G90" s="952">
        <f>'4C2 Open-burning '!R116</f>
        <v>9.8170161256687258</v>
      </c>
      <c r="H90" s="952">
        <f>'4C2 Open-burning '!Z116</f>
        <v>3.3031253746811897</v>
      </c>
      <c r="I90" s="952">
        <f>'4C2 Open-burning '!AH116</f>
        <v>4.5985080271185648E-2</v>
      </c>
      <c r="J90" s="987">
        <f>'4D Wastewater treatment and dis'!AV153</f>
        <v>225.70930325029914</v>
      </c>
      <c r="K90" s="770">
        <f>'4D Wastewater treatment and dis'!AW153</f>
        <v>3.7120223475197802</v>
      </c>
      <c r="L90" s="771">
        <f t="shared" si="101"/>
        <v>7461.2795709704451</v>
      </c>
      <c r="M90" s="772">
        <f t="shared" si="102"/>
        <v>17.288753137730392</v>
      </c>
      <c r="N90" s="771">
        <f t="shared" si="103"/>
        <v>1467.0741948302643</v>
      </c>
      <c r="O90" s="773">
        <f t="shared" si="104"/>
        <v>93.438023878041264</v>
      </c>
      <c r="P90" s="771">
        <f t="shared" si="105"/>
        <v>5890.622295987414</v>
      </c>
      <c r="Q90" s="519">
        <f t="shared" si="106"/>
        <v>7461.2795709704451</v>
      </c>
      <c r="R90" s="521">
        <f t="shared" si="107"/>
        <v>1484.3629479679946</v>
      </c>
      <c r="S90" s="518">
        <f t="shared" si="108"/>
        <v>93.438023878041264</v>
      </c>
      <c r="T90" s="519">
        <f t="shared" si="109"/>
        <v>5890.622295987414</v>
      </c>
      <c r="U90" s="519">
        <f t="shared" si="110"/>
        <v>14929.702838803894</v>
      </c>
    </row>
    <row r="91" spans="1:43">
      <c r="A91" s="4">
        <f>'Input data'!A146</f>
        <v>2046</v>
      </c>
      <c r="B91" s="4"/>
      <c r="C91" s="769">
        <f>'4A SWD Case 1'!BN116</f>
        <v>344.44836995068692</v>
      </c>
      <c r="D91" s="3">
        <f>'4B Biological treatment '!T144</f>
        <v>0.83163845758400778</v>
      </c>
      <c r="E91" s="1159">
        <f>'4B Biological treatment '!U144</f>
        <v>37.423730591280346</v>
      </c>
      <c r="F91" s="1159">
        <f>'4B Biological treatment '!W144</f>
        <v>2.2454238354768203</v>
      </c>
      <c r="G91" s="952">
        <f>'4C2 Open-burning '!R117</f>
        <v>9.1645050519911742</v>
      </c>
      <c r="H91" s="952">
        <f>'4C2 Open-burning '!Z117</f>
        <v>3.0835753752583281</v>
      </c>
      <c r="I91" s="952">
        <f>'4C2 Open-burning '!AH117</f>
        <v>4.2928573720030741E-2</v>
      </c>
      <c r="J91" s="987">
        <f>'4D Wastewater treatment and dis'!AV154</f>
        <v>228.82882339897614</v>
      </c>
      <c r="K91" s="770">
        <f>'4D Wastewater treatment and dis'!AW154</f>
        <v>3.7309303668123635</v>
      </c>
      <c r="L91" s="771">
        <f t="shared" si="101"/>
        <v>7233.4157689644253</v>
      </c>
      <c r="M91" s="772">
        <f t="shared" si="102"/>
        <v>17.464407609264164</v>
      </c>
      <c r="N91" s="771">
        <f t="shared" si="103"/>
        <v>1481.9797314147017</v>
      </c>
      <c r="O91" s="773">
        <f t="shared" si="104"/>
        <v>87.227445785625591</v>
      </c>
      <c r="P91" s="771">
        <f t="shared" si="105"/>
        <v>5961.9937050903318</v>
      </c>
      <c r="Q91" s="519">
        <f t="shared" si="106"/>
        <v>7233.4157689644253</v>
      </c>
      <c r="R91" s="521">
        <f t="shared" si="107"/>
        <v>1499.4441390239658</v>
      </c>
      <c r="S91" s="518">
        <f t="shared" si="108"/>
        <v>87.227445785625591</v>
      </c>
      <c r="T91" s="519">
        <f t="shared" si="109"/>
        <v>5961.9937050903318</v>
      </c>
      <c r="U91" s="519">
        <f t="shared" si="110"/>
        <v>14782.081058864349</v>
      </c>
    </row>
    <row r="92" spans="1:43">
      <c r="A92" s="4">
        <f>'Input data'!A147</f>
        <v>2047</v>
      </c>
      <c r="B92" s="4"/>
      <c r="C92" s="769">
        <f>'4A SWD Case 1'!BN117</f>
        <v>333.91694196800091</v>
      </c>
      <c r="D92" s="3">
        <f>'4B Biological treatment '!T145</f>
        <v>0.84040227956635705</v>
      </c>
      <c r="E92" s="1159">
        <f>'4B Biological treatment '!U145</f>
        <v>37.818102580486055</v>
      </c>
      <c r="F92" s="1159">
        <f>'4B Biological treatment '!W145</f>
        <v>2.269086154829163</v>
      </c>
      <c r="G92" s="952">
        <f>'4C2 Open-burning '!R118</f>
        <v>8.5137617581356313</v>
      </c>
      <c r="H92" s="952">
        <f>'4C2 Open-burning '!Z118</f>
        <v>2.8646201796243345</v>
      </c>
      <c r="I92" s="952">
        <f>'4C2 Open-burning '!AH118</f>
        <v>3.9880347841534033E-2</v>
      </c>
      <c r="J92" s="987">
        <f>'4D Wastewater treatment and dis'!AV155</f>
        <v>231.97766661377796</v>
      </c>
      <c r="K92" s="770">
        <f>'4D Wastewater treatment and dis'!AW155</f>
        <v>3.7499896502592862</v>
      </c>
      <c r="L92" s="771">
        <f t="shared" si="101"/>
        <v>7012.2557813280191</v>
      </c>
      <c r="M92" s="772">
        <f t="shared" si="102"/>
        <v>17.648447870893499</v>
      </c>
      <c r="N92" s="771">
        <f t="shared" si="103"/>
        <v>1497.5968621872476</v>
      </c>
      <c r="O92" s="773">
        <f t="shared" si="104"/>
        <v>81.033693361122204</v>
      </c>
      <c r="P92" s="771">
        <f t="shared" si="105"/>
        <v>6034.0277904697159</v>
      </c>
      <c r="Q92" s="519">
        <f t="shared" si="106"/>
        <v>7012.2557813280191</v>
      </c>
      <c r="R92" s="521">
        <f t="shared" si="107"/>
        <v>1515.2453100581411</v>
      </c>
      <c r="S92" s="518">
        <f t="shared" si="108"/>
        <v>81.033693361122204</v>
      </c>
      <c r="T92" s="519">
        <f t="shared" si="109"/>
        <v>6034.0277904697159</v>
      </c>
      <c r="U92" s="519">
        <f t="shared" si="110"/>
        <v>14642.562575216998</v>
      </c>
    </row>
    <row r="93" spans="1:43">
      <c r="A93" s="4">
        <f>'Input data'!A148</f>
        <v>2048</v>
      </c>
      <c r="B93" s="4"/>
      <c r="C93" s="769">
        <f>'4A SWD Case 1'!BN118</f>
        <v>323.69796171868853</v>
      </c>
      <c r="D93" s="3">
        <f>'4B Biological treatment '!T146</f>
        <v>0.84926691005184995</v>
      </c>
      <c r="E93" s="1159">
        <f>'4B Biological treatment '!U146</f>
        <v>38.21701095233324</v>
      </c>
      <c r="F93" s="1159">
        <f>'4B Biological treatment '!W146</f>
        <v>2.2930206571399943</v>
      </c>
      <c r="G93" s="952">
        <f>'4C2 Open-burning '!R119</f>
        <v>8.5024882375470732</v>
      </c>
      <c r="H93" s="952">
        <f>'4C2 Open-burning '!Z119</f>
        <v>2.8608269850893189</v>
      </c>
      <c r="I93" s="952">
        <f>'4C2 Open-burning '!AH119</f>
        <v>3.9827540171406231E-2</v>
      </c>
      <c r="J93" s="987">
        <f>'4D Wastewater treatment and dis'!AV156</f>
        <v>235.1529267511888</v>
      </c>
      <c r="K93" s="770">
        <f>'4D Wastewater treatment and dis'!AW156</f>
        <v>3.76914977647577</v>
      </c>
      <c r="L93" s="771">
        <f t="shared" si="101"/>
        <v>6797.6571960924593</v>
      </c>
      <c r="M93" s="772">
        <f t="shared" si="102"/>
        <v>17.834605111088848</v>
      </c>
      <c r="N93" s="771">
        <f t="shared" si="103"/>
        <v>1513.3936337123964</v>
      </c>
      <c r="O93" s="773">
        <f t="shared" si="104"/>
        <v>80.926392377558713</v>
      </c>
      <c r="P93" s="771">
        <f t="shared" si="105"/>
        <v>6106.6478924824532</v>
      </c>
      <c r="Q93" s="519">
        <f t="shared" si="106"/>
        <v>6797.6571960924593</v>
      </c>
      <c r="R93" s="521">
        <f t="shared" si="107"/>
        <v>1531.2282388234853</v>
      </c>
      <c r="S93" s="518">
        <f t="shared" si="108"/>
        <v>80.926392377558713</v>
      </c>
      <c r="T93" s="519">
        <f t="shared" si="109"/>
        <v>6106.6478924824532</v>
      </c>
      <c r="U93" s="519">
        <f t="shared" si="110"/>
        <v>14516.459719775956</v>
      </c>
    </row>
    <row r="94" spans="1:43">
      <c r="A94" s="4">
        <f>'Input data'!A149</f>
        <v>2049</v>
      </c>
      <c r="B94" s="4"/>
      <c r="C94" s="769">
        <f>'4A SWD Case 1'!BN119</f>
        <v>314.06709464861888</v>
      </c>
      <c r="D94" s="3">
        <f>'4B Biological treatment '!T147</f>
        <v>0.85856866706390544</v>
      </c>
      <c r="E94" s="1159">
        <f>'4B Biological treatment '!U147</f>
        <v>38.635590017875742</v>
      </c>
      <c r="F94" s="1159">
        <f>'4B Biological treatment '!W147</f>
        <v>2.3181354010725443</v>
      </c>
      <c r="G94" s="952">
        <f>'4C2 Open-burning '!R120</f>
        <v>8.4913290158216892</v>
      </c>
      <c r="H94" s="952">
        <f>'4C2 Open-burning '!Z120</f>
        <v>2.8570722486224582</v>
      </c>
      <c r="I94" s="952">
        <f>'4C2 Open-burning '!AH120</f>
        <v>3.9775267902497149E-2</v>
      </c>
      <c r="J94" s="987">
        <f>'4D Wastewater treatment and dis'!AV157</f>
        <v>238.35159118378778</v>
      </c>
      <c r="K94" s="770">
        <f>'4D Wastewater treatment and dis'!AW157</f>
        <v>3.7883603240770336</v>
      </c>
      <c r="L94" s="771">
        <f t="shared" si="101"/>
        <v>6595.4089876209964</v>
      </c>
      <c r="M94" s="772">
        <f t="shared" si="102"/>
        <v>18.029942008342015</v>
      </c>
      <c r="N94" s="771">
        <f t="shared" si="103"/>
        <v>1529.9693647078793</v>
      </c>
      <c r="O94" s="773">
        <f t="shared" si="104"/>
        <v>80.820179286667425</v>
      </c>
      <c r="P94" s="771">
        <f t="shared" si="105"/>
        <v>6179.775115323424</v>
      </c>
      <c r="Q94" s="519">
        <f t="shared" si="106"/>
        <v>6595.4089876209964</v>
      </c>
      <c r="R94" s="521">
        <f t="shared" si="107"/>
        <v>1547.9993067162213</v>
      </c>
      <c r="S94" s="518">
        <f t="shared" si="108"/>
        <v>80.820179286667425</v>
      </c>
      <c r="T94" s="519">
        <f t="shared" si="109"/>
        <v>6179.775115323424</v>
      </c>
      <c r="U94" s="519">
        <f t="shared" si="110"/>
        <v>14404.003588947309</v>
      </c>
    </row>
    <row r="95" spans="1:43">
      <c r="A95" s="4">
        <f>'Input data'!A150</f>
        <v>2050</v>
      </c>
      <c r="B95" s="4"/>
      <c r="C95" s="769">
        <f>'4A SWD Case 1'!BN120</f>
        <v>305.0081985530195</v>
      </c>
      <c r="D95" s="3">
        <f>'4B Biological treatment '!T148</f>
        <v>0.86834231215533209</v>
      </c>
      <c r="E95" s="1159">
        <f>'4B Biological treatment '!U148</f>
        <v>39.075404046989938</v>
      </c>
      <c r="F95" s="1159">
        <f>'4B Biological treatment '!W148</f>
        <v>2.344524242819396</v>
      </c>
      <c r="G95" s="952">
        <f>'4C2 Open-burning '!R121</f>
        <v>8.4802250110863984</v>
      </c>
      <c r="H95" s="952">
        <f>'4C2 Open-burning '!Z121</f>
        <v>2.8533360909822743</v>
      </c>
      <c r="I95" s="952">
        <f>'4C2 Open-burning '!AH121</f>
        <v>3.9723254282212989E-2</v>
      </c>
      <c r="J95" s="987">
        <f>'4D Wastewater treatment and dis'!AV158</f>
        <v>241.58013772301177</v>
      </c>
      <c r="K95" s="770">
        <f>'4D Wastewater treatment and dis'!AW158</f>
        <v>3.8077221358326381</v>
      </c>
      <c r="L95" s="771">
        <f t="shared" si="101"/>
        <v>6405.1721696134091</v>
      </c>
      <c r="M95" s="772">
        <f t="shared" si="102"/>
        <v>18.235188555261974</v>
      </c>
      <c r="N95" s="771">
        <f t="shared" si="103"/>
        <v>1547.3860002608014</v>
      </c>
      <c r="O95" s="773">
        <f t="shared" si="104"/>
        <v>80.714491749200192</v>
      </c>
      <c r="P95" s="771">
        <f t="shared" si="105"/>
        <v>6253.5767542913654</v>
      </c>
      <c r="Q95" s="471">
        <f t="shared" si="106"/>
        <v>6405.1721696134091</v>
      </c>
      <c r="R95" s="517">
        <f t="shared" si="107"/>
        <v>1565.6211888160635</v>
      </c>
      <c r="S95" s="514">
        <f t="shared" si="108"/>
        <v>80.714491749200192</v>
      </c>
      <c r="T95" s="471">
        <f t="shared" si="109"/>
        <v>6253.5767542913654</v>
      </c>
      <c r="U95" s="471">
        <f t="shared" si="110"/>
        <v>14305.084604470037</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820.16905115932695</v>
      </c>
      <c r="D97" s="3">
        <f>'4B Biological treatment '!T150</f>
        <v>0.32094742419140376</v>
      </c>
      <c r="E97" s="1159">
        <f>'4B Biological treatment '!U150</f>
        <v>20.374672143992505</v>
      </c>
      <c r="F97" s="1159">
        <f>'4B Biological treatment '!W150</f>
        <v>1.2224803286395503</v>
      </c>
      <c r="G97" s="952">
        <f>'4C2 Open-burning '!R123</f>
        <v>32.917079168029382</v>
      </c>
      <c r="H97" s="952">
        <f>'4C2 Open-burning '!Z123</f>
        <v>11.075589371398827</v>
      </c>
      <c r="I97" s="952">
        <f>'4C2 Open-burning '!AH123</f>
        <v>0.15419089756580112</v>
      </c>
      <c r="J97" s="987">
        <f>'4D Wastewater treatment and dis'!AV160</f>
        <v>137.16052018288545</v>
      </c>
      <c r="K97" s="770">
        <f>'4D Wastewater treatment and dis'!AW160</f>
        <v>2.8960026562367029</v>
      </c>
      <c r="L97" s="771">
        <f t="shared" ref="L97:L129" si="111">C97*$B$3</f>
        <v>17223.550074345865</v>
      </c>
      <c r="M97" s="772">
        <f t="shared" ref="M97:M129" si="112">D97*$B$3</f>
        <v>6.7398959080194789</v>
      </c>
      <c r="N97" s="771">
        <f t="shared" ref="N97:N129" si="113">E97*$B$3+F97*$C$3</f>
        <v>806.83701690210319</v>
      </c>
      <c r="O97" s="773">
        <f t="shared" ref="O97:O129" si="114">G97+H97*$B$3+I97*$C$3</f>
        <v>313.3036342128031</v>
      </c>
      <c r="P97" s="771">
        <f t="shared" ref="P97:P129" si="115">J97*$B$3+K97*$C$3</f>
        <v>3778.1317472739725</v>
      </c>
      <c r="Q97" s="471">
        <f t="shared" si="74"/>
        <v>17223.550074345865</v>
      </c>
      <c r="R97" s="517">
        <f t="shared" si="75"/>
        <v>813.57691281012262</v>
      </c>
      <c r="S97" s="514">
        <f t="shared" si="76"/>
        <v>313.3036342128031</v>
      </c>
      <c r="T97" s="471">
        <f t="shared" si="77"/>
        <v>3778.1317472739725</v>
      </c>
      <c r="U97" s="471">
        <f t="shared" si="78"/>
        <v>22128.562368642764</v>
      </c>
    </row>
    <row r="98" spans="1:21">
      <c r="A98" s="4">
        <f>'Input data'!A119</f>
        <v>2019</v>
      </c>
      <c r="B98" s="4"/>
      <c r="C98" s="769">
        <f>'4A SWD Case 2'!BG89</f>
        <v>801.62163919349155</v>
      </c>
      <c r="D98" s="3">
        <f>'4B Biological treatment '!T151</f>
        <v>0.37478585972226036</v>
      </c>
      <c r="E98" s="1159">
        <f>'4B Biological treatment '!U151</f>
        <v>21.678410820099796</v>
      </c>
      <c r="F98" s="1159">
        <f>'4B Biological treatment '!W151</f>
        <v>1.3007046492059877</v>
      </c>
      <c r="G98" s="952">
        <f>'4C2 Open-burning '!R124</f>
        <v>32.340331503378508</v>
      </c>
      <c r="H98" s="952">
        <f>'4C2 Open-burning '!Z124</f>
        <v>10.881531439588446</v>
      </c>
      <c r="I98" s="952">
        <f>'4C2 Open-burning '!AH124</f>
        <v>0.15148928362163711</v>
      </c>
      <c r="J98" s="987">
        <f>'4D Wastewater treatment and dis'!AV161</f>
        <v>143.32311856444659</v>
      </c>
      <c r="K98" s="770">
        <f>'4D Wastewater treatment and dis'!AW161</f>
        <v>2.9428441226975277</v>
      </c>
      <c r="L98" s="771">
        <f t="shared" si="111"/>
        <v>16834.054423063324</v>
      </c>
      <c r="M98" s="772">
        <f t="shared" si="112"/>
        <v>7.8705030541674672</v>
      </c>
      <c r="N98" s="771">
        <f t="shared" si="113"/>
        <v>858.46506847595197</v>
      </c>
      <c r="O98" s="773">
        <f t="shared" si="114"/>
        <v>307.81416965744336</v>
      </c>
      <c r="P98" s="771">
        <f t="shared" si="115"/>
        <v>3922.0671678896119</v>
      </c>
      <c r="Q98" s="519">
        <f t="shared" si="74"/>
        <v>16834.054423063324</v>
      </c>
      <c r="R98" s="521">
        <f t="shared" si="75"/>
        <v>866.33557153011941</v>
      </c>
      <c r="S98" s="518">
        <f t="shared" si="76"/>
        <v>307.81416965744336</v>
      </c>
      <c r="T98" s="519">
        <f t="shared" si="77"/>
        <v>3922.0671678896119</v>
      </c>
      <c r="U98" s="519">
        <f t="shared" si="78"/>
        <v>21930.271332140495</v>
      </c>
    </row>
    <row r="99" spans="1:21">
      <c r="A99" s="4">
        <f>'Input data'!A120</f>
        <v>2020</v>
      </c>
      <c r="B99" s="4"/>
      <c r="C99" s="769">
        <f>'4A SWD Case 2'!BG90</f>
        <v>782.61505431882586</v>
      </c>
      <c r="D99" s="3">
        <f>'4B Biological treatment '!T152</f>
        <v>0.44772213866917421</v>
      </c>
      <c r="E99" s="1159">
        <f>'4B Biological treatment '!U152</f>
        <v>23.841552449929665</v>
      </c>
      <c r="F99" s="1159">
        <f>'4B Biological treatment '!W152</f>
        <v>1.4304931469957798</v>
      </c>
      <c r="G99" s="952">
        <f>'4C2 Open-burning '!R125</f>
        <v>31.469352619539116</v>
      </c>
      <c r="H99" s="952">
        <f>'4C2 Open-burning '!Z125</f>
        <v>10.588473710519533</v>
      </c>
      <c r="I99" s="952">
        <f>'4C2 Open-burning '!AH125</f>
        <v>0.14740942540655916</v>
      </c>
      <c r="J99" s="987">
        <f>'4D Wastewater treatment and dis'!AV162</f>
        <v>149.6491219215433</v>
      </c>
      <c r="K99" s="770">
        <f>'4D Wastewater treatment and dis'!AW162</f>
        <v>2.9904419099300554</v>
      </c>
      <c r="L99" s="771">
        <f t="shared" si="111"/>
        <v>16434.916140695343</v>
      </c>
      <c r="M99" s="772">
        <f t="shared" si="112"/>
        <v>9.4021649120526583</v>
      </c>
      <c r="N99" s="771">
        <f t="shared" si="113"/>
        <v>944.12547701721473</v>
      </c>
      <c r="O99" s="773">
        <f t="shared" si="114"/>
        <v>299.52422241648264</v>
      </c>
      <c r="P99" s="771">
        <f t="shared" si="115"/>
        <v>4069.6685524307268</v>
      </c>
      <c r="Q99" s="519">
        <f t="shared" si="74"/>
        <v>16434.916140695343</v>
      </c>
      <c r="R99" s="521">
        <f t="shared" si="75"/>
        <v>953.52764192926736</v>
      </c>
      <c r="S99" s="518">
        <f t="shared" si="76"/>
        <v>299.52422241648264</v>
      </c>
      <c r="T99" s="519">
        <f t="shared" si="77"/>
        <v>4069.6685524307268</v>
      </c>
      <c r="U99" s="519">
        <f t="shared" si="78"/>
        <v>21757.636557471822</v>
      </c>
    </row>
    <row r="100" spans="1:21">
      <c r="A100" s="4">
        <f>'Input data'!A121</f>
        <v>2021</v>
      </c>
      <c r="B100" s="4"/>
      <c r="C100" s="769">
        <f>'4A SWD Case 2'!BG91</f>
        <v>762.06494670908876</v>
      </c>
      <c r="D100" s="3">
        <f>'4B Biological treatment '!T153</f>
        <v>0.5989328706811301</v>
      </c>
      <c r="E100" s="1159">
        <f>'4B Biological treatment '!U153</f>
        <v>29.284365406977379</v>
      </c>
      <c r="F100" s="1159">
        <f>'4B Biological treatment '!W153</f>
        <v>1.7570619244186425</v>
      </c>
      <c r="G100" s="952">
        <f>'4C2 Open-burning '!R126</f>
        <v>28.930991306569897</v>
      </c>
      <c r="H100" s="952">
        <f>'4C2 Open-burning '!Z126</f>
        <v>9.7343928415827357</v>
      </c>
      <c r="I100" s="952">
        <f>'4C2 Open-burning '!AH126</f>
        <v>0.13551917818276635</v>
      </c>
      <c r="J100" s="987">
        <f>'4D Wastewater treatment and dis'!AV163</f>
        <v>155.4265138839244</v>
      </c>
      <c r="K100" s="770">
        <f>'4D Wastewater treatment and dis'!AW163</f>
        <v>3.024879715734945</v>
      </c>
      <c r="L100" s="771">
        <f t="shared" si="111"/>
        <v>16003.363880890864</v>
      </c>
      <c r="M100" s="772">
        <f t="shared" si="112"/>
        <v>12.577590284303731</v>
      </c>
      <c r="N100" s="771">
        <f t="shared" si="113"/>
        <v>1159.6608701163041</v>
      </c>
      <c r="O100" s="773">
        <f t="shared" si="114"/>
        <v>275.36418621646493</v>
      </c>
      <c r="P100" s="771">
        <f t="shared" si="115"/>
        <v>4201.6695034402455</v>
      </c>
      <c r="Q100" s="519">
        <f t="shared" si="74"/>
        <v>16003.363880890864</v>
      </c>
      <c r="R100" s="521">
        <f t="shared" si="75"/>
        <v>1172.2384604006079</v>
      </c>
      <c r="S100" s="518">
        <f t="shared" si="76"/>
        <v>275.36418621646493</v>
      </c>
      <c r="T100" s="519">
        <f t="shared" si="77"/>
        <v>4201.6695034402455</v>
      </c>
      <c r="U100" s="519">
        <f t="shared" si="78"/>
        <v>21652.636030948182</v>
      </c>
    </row>
    <row r="101" spans="1:21">
      <c r="A101" s="4">
        <f>'Input data'!A122</f>
        <v>2022</v>
      </c>
      <c r="B101" s="4"/>
      <c r="C101" s="769">
        <f>'4A SWD Case 2'!BG92</f>
        <v>736.62065210895582</v>
      </c>
      <c r="D101" s="3">
        <f>'4B Biological treatment '!T154</f>
        <v>0.70887673028373277</v>
      </c>
      <c r="E101" s="1159">
        <f>'4B Biological treatment '!U154</f>
        <v>31.899452862767973</v>
      </c>
      <c r="F101" s="1159">
        <f>'4B Biological treatment '!W154</f>
        <v>1.913967171766078</v>
      </c>
      <c r="G101" s="952">
        <f>'4C2 Open-burning '!R127</f>
        <v>24.078073091016368</v>
      </c>
      <c r="H101" s="952">
        <f>'4C2 Open-burning '!Z127</f>
        <v>8.1015344359482544</v>
      </c>
      <c r="I101" s="952">
        <f>'4C2 Open-burning '!AH127</f>
        <v>0.11278703321783931</v>
      </c>
      <c r="J101" s="987">
        <f>'4D Wastewater treatment and dis'!AV164</f>
        <v>161.31482365077883</v>
      </c>
      <c r="K101" s="770">
        <f>'4D Wastewater treatment and dis'!AW164</f>
        <v>3.0596704712332969</v>
      </c>
      <c r="L101" s="771">
        <f t="shared" si="111"/>
        <v>15469.033694288073</v>
      </c>
      <c r="M101" s="772">
        <f t="shared" si="112"/>
        <v>14.886411335958389</v>
      </c>
      <c r="N101" s="771">
        <f t="shared" si="113"/>
        <v>1263.2183333656117</v>
      </c>
      <c r="O101" s="773">
        <f t="shared" si="114"/>
        <v>229.17427654345988</v>
      </c>
      <c r="P101" s="771">
        <f t="shared" si="115"/>
        <v>4336.1091427486772</v>
      </c>
      <c r="Q101" s="519">
        <f t="shared" si="74"/>
        <v>15469.033694288073</v>
      </c>
      <c r="R101" s="521">
        <f t="shared" si="75"/>
        <v>1278.1047447015701</v>
      </c>
      <c r="S101" s="518">
        <f t="shared" si="76"/>
        <v>229.17427654345988</v>
      </c>
      <c r="T101" s="519">
        <f t="shared" si="77"/>
        <v>4336.1091427486772</v>
      </c>
      <c r="U101" s="519">
        <f t="shared" si="78"/>
        <v>21312.421858281785</v>
      </c>
    </row>
    <row r="102" spans="1:21">
      <c r="A102" s="4">
        <f>'Input data'!A123</f>
        <v>2023</v>
      </c>
      <c r="B102" s="4"/>
      <c r="C102" s="769">
        <f>'4A SWD Case 2'!BG93</f>
        <v>708.94865597485557</v>
      </c>
      <c r="D102" s="3">
        <f>'4B Biological treatment '!T155</f>
        <v>0.71163201786319019</v>
      </c>
      <c r="E102" s="1159">
        <f>'4B Biological treatment '!U155</f>
        <v>32.023440803843556</v>
      </c>
      <c r="F102" s="1159">
        <f>'4B Biological treatment '!W155</f>
        <v>1.921406448230613</v>
      </c>
      <c r="G102" s="952">
        <f>'4C2 Open-burning '!R128</f>
        <v>22.834747369570866</v>
      </c>
      <c r="H102" s="952">
        <f>'4C2 Open-burning '!Z128</f>
        <v>7.6831933955620482</v>
      </c>
      <c r="I102" s="952">
        <f>'4C2 Open-burning '!AH128</f>
        <v>0.10696301985451132</v>
      </c>
      <c r="J102" s="987">
        <f>'4D Wastewater treatment and dis'!AV165</f>
        <v>167.32092220488411</v>
      </c>
      <c r="K102" s="770">
        <f>'4D Wastewater treatment and dis'!AW165</f>
        <v>3.0949150191946715</v>
      </c>
      <c r="L102" s="771">
        <f t="shared" si="111"/>
        <v>14887.921775471967</v>
      </c>
      <c r="M102" s="772">
        <f t="shared" si="112"/>
        <v>14.944272375126994</v>
      </c>
      <c r="N102" s="771">
        <f t="shared" si="113"/>
        <v>1268.1282558322046</v>
      </c>
      <c r="O102" s="773">
        <f t="shared" si="114"/>
        <v>217.34034483127238</v>
      </c>
      <c r="P102" s="771">
        <f t="shared" si="115"/>
        <v>4473.1630222529147</v>
      </c>
      <c r="Q102" s="519">
        <f t="shared" si="74"/>
        <v>14887.921775471967</v>
      </c>
      <c r="R102" s="521">
        <f t="shared" si="75"/>
        <v>1283.0725282073315</v>
      </c>
      <c r="S102" s="518">
        <f t="shared" si="76"/>
        <v>217.34034483127238</v>
      </c>
      <c r="T102" s="519">
        <f t="shared" si="77"/>
        <v>4473.1630222529147</v>
      </c>
      <c r="U102" s="519">
        <f t="shared" si="78"/>
        <v>20861.497670763485</v>
      </c>
    </row>
    <row r="103" spans="1:21">
      <c r="A103" s="4">
        <f>'Input data'!A124</f>
        <v>2024</v>
      </c>
      <c r="B103" s="4"/>
      <c r="C103" s="769">
        <f>'4A SWD Case 2'!BG94</f>
        <v>682.40459044482566</v>
      </c>
      <c r="D103" s="3">
        <f>'4B Biological treatment '!T156</f>
        <v>0.71428953857537469</v>
      </c>
      <c r="E103" s="1159">
        <f>'4B Biological treatment '!U156</f>
        <v>32.143029235891859</v>
      </c>
      <c r="F103" s="1159">
        <f>'4B Biological treatment '!W156</f>
        <v>1.9285817541535111</v>
      </c>
      <c r="G103" s="952">
        <f>'4C2 Open-burning '!R129</f>
        <v>21.570136743906811</v>
      </c>
      <c r="H103" s="952">
        <f>'4C2 Open-burning '!Z129</f>
        <v>7.2576906365515708</v>
      </c>
      <c r="I103" s="952">
        <f>'4C2 Open-burning '!AH129</f>
        <v>0.1010393032802967</v>
      </c>
      <c r="J103" s="987">
        <f>'4D Wastewater treatment and dis'!AV166</f>
        <v>173.44384059068466</v>
      </c>
      <c r="K103" s="770">
        <f>'4D Wastewater treatment and dis'!AW166</f>
        <v>3.1305629382342866</v>
      </c>
      <c r="L103" s="771">
        <f t="shared" si="111"/>
        <v>14330.496399341338</v>
      </c>
      <c r="M103" s="772">
        <f t="shared" si="112"/>
        <v>15.000080310082868</v>
      </c>
      <c r="N103" s="771">
        <f t="shared" si="113"/>
        <v>1272.8639577413176</v>
      </c>
      <c r="O103" s="773">
        <f t="shared" si="114"/>
        <v>205.30382412838176</v>
      </c>
      <c r="P103" s="771">
        <f t="shared" si="115"/>
        <v>4612.7951632570066</v>
      </c>
      <c r="Q103" s="519">
        <f t="shared" si="74"/>
        <v>14330.496399341338</v>
      </c>
      <c r="R103" s="521">
        <f t="shared" si="75"/>
        <v>1287.8640380514005</v>
      </c>
      <c r="S103" s="518">
        <f t="shared" si="76"/>
        <v>205.30382412838176</v>
      </c>
      <c r="T103" s="519">
        <f t="shared" si="77"/>
        <v>4612.7951632570066</v>
      </c>
      <c r="U103" s="519">
        <f t="shared" si="78"/>
        <v>20436.459424778128</v>
      </c>
    </row>
    <row r="104" spans="1:21">
      <c r="A104" s="4">
        <f>'Input data'!A125</f>
        <v>2025</v>
      </c>
      <c r="B104" s="4"/>
      <c r="C104" s="769">
        <f>'4A SWD Case 2'!BG95</f>
        <v>656.90736788691663</v>
      </c>
      <c r="D104" s="3">
        <f>'4B Biological treatment '!T157</f>
        <v>0.71706046885359576</v>
      </c>
      <c r="E104" s="1159">
        <f>'4B Biological treatment '!U157</f>
        <v>32.267721098411805</v>
      </c>
      <c r="F104" s="1159">
        <f>'4B Biological treatment '!W157</f>
        <v>1.9360632659047079</v>
      </c>
      <c r="G104" s="952">
        <f>'4C2 Open-burning '!R130</f>
        <v>20.283474926977643</v>
      </c>
      <c r="H104" s="952">
        <f>'4C2 Open-burning '!Z130</f>
        <v>6.8247683267858177</v>
      </c>
      <c r="I104" s="952">
        <f>'4C2 Open-burning '!AH130</f>
        <v>9.501229403675969E-2</v>
      </c>
      <c r="J104" s="987">
        <f>'4D Wastewater treatment and dis'!AV167</f>
        <v>179.68520063996107</v>
      </c>
      <c r="K104" s="770">
        <f>'4D Wastewater treatment and dis'!AW167</f>
        <v>3.166614228352143</v>
      </c>
      <c r="L104" s="771">
        <f t="shared" si="111"/>
        <v>13795.054725625248</v>
      </c>
      <c r="M104" s="772">
        <f t="shared" si="112"/>
        <v>15.05826984592551</v>
      </c>
      <c r="N104" s="771">
        <f t="shared" si="113"/>
        <v>1277.8017554971075</v>
      </c>
      <c r="O104" s="773">
        <f t="shared" si="114"/>
        <v>193.05742094087532</v>
      </c>
      <c r="P104" s="771">
        <f t="shared" si="115"/>
        <v>4755.0396242283468</v>
      </c>
      <c r="Q104" s="519">
        <f t="shared" si="74"/>
        <v>13795.054725625248</v>
      </c>
      <c r="R104" s="521">
        <f t="shared" si="75"/>
        <v>1292.8600253430329</v>
      </c>
      <c r="S104" s="518">
        <f t="shared" si="76"/>
        <v>193.05742094087532</v>
      </c>
      <c r="T104" s="519">
        <f t="shared" si="77"/>
        <v>4755.0396242283468</v>
      </c>
      <c r="U104" s="519">
        <f t="shared" si="78"/>
        <v>20036.011796137504</v>
      </c>
    </row>
    <row r="105" spans="1:21">
      <c r="A105" s="4">
        <f>'Input data'!A126</f>
        <v>2026</v>
      </c>
      <c r="B105" s="4"/>
      <c r="C105" s="769">
        <f>'4A SWD Case 2'!BG96</f>
        <v>632.37937810970811</v>
      </c>
      <c r="D105" s="3">
        <f>'4B Biological treatment '!T158</f>
        <v>0.72035151886570903</v>
      </c>
      <c r="E105" s="1159">
        <f>'4B Biological treatment '!U158</f>
        <v>32.415818348956904</v>
      </c>
      <c r="F105" s="1159">
        <f>'4B Biological treatment '!W158</f>
        <v>1.9449491009374138</v>
      </c>
      <c r="G105" s="952">
        <f>'4C2 Open-burning '!R131</f>
        <v>18.985218856693226</v>
      </c>
      <c r="H105" s="952">
        <f>'4C2 Open-burning '!Z131</f>
        <v>6.3879449057284114</v>
      </c>
      <c r="I105" s="952">
        <f>'4C2 Open-burning '!AH131</f>
        <v>8.8930974739699228E-2</v>
      </c>
      <c r="J105" s="987">
        <f>'4D Wastewater treatment and dis'!AV168</f>
        <v>185.73911394397246</v>
      </c>
      <c r="K105" s="770">
        <f>'4D Wastewater treatment and dis'!AW168</f>
        <v>3.1977746441463193</v>
      </c>
      <c r="L105" s="771">
        <f t="shared" si="111"/>
        <v>13279.96694030387</v>
      </c>
      <c r="M105" s="772">
        <f t="shared" si="112"/>
        <v>15.127381896179889</v>
      </c>
      <c r="N105" s="771">
        <f t="shared" si="113"/>
        <v>1283.6664066186931</v>
      </c>
      <c r="O105" s="773">
        <f t="shared" si="114"/>
        <v>180.70066404629662</v>
      </c>
      <c r="P105" s="771">
        <f t="shared" si="115"/>
        <v>4891.8315325087806</v>
      </c>
      <c r="Q105" s="519">
        <f t="shared" si="74"/>
        <v>13279.96694030387</v>
      </c>
      <c r="R105" s="521">
        <f t="shared" si="75"/>
        <v>1298.7937885148731</v>
      </c>
      <c r="S105" s="518">
        <f t="shared" si="76"/>
        <v>180.70066404629662</v>
      </c>
      <c r="T105" s="519">
        <f t="shared" si="77"/>
        <v>4891.8315325087806</v>
      </c>
      <c r="U105" s="519">
        <f t="shared" si="78"/>
        <v>19651.292925373818</v>
      </c>
    </row>
    <row r="106" spans="1:21">
      <c r="A106" s="4">
        <f>'Input data'!A127</f>
        <v>2027</v>
      </c>
      <c r="B106" s="4"/>
      <c r="C106" s="769">
        <f>'4A SWD Case 2'!BG97</f>
        <v>608.74250150326384</v>
      </c>
      <c r="D106" s="3">
        <f>'4B Biological treatment '!T159</f>
        <v>0.72361041444147467</v>
      </c>
      <c r="E106" s="1159">
        <f>'4B Biological treatment '!U159</f>
        <v>32.562468649866361</v>
      </c>
      <c r="F106" s="1159">
        <f>'4B Biological treatment '!W159</f>
        <v>1.9537481189919812</v>
      </c>
      <c r="G106" s="952">
        <f>'4C2 Open-burning '!R132</f>
        <v>17.661553312930316</v>
      </c>
      <c r="H106" s="952">
        <f>'4C2 Open-burning '!Z132</f>
        <v>5.942571974765988</v>
      </c>
      <c r="I106" s="952">
        <f>'4C2 Open-burning '!AH132</f>
        <v>8.2730631834793011E-2</v>
      </c>
      <c r="J106" s="987">
        <f>'4D Wastewater treatment and dis'!AV169</f>
        <v>191.89752530165873</v>
      </c>
      <c r="K106" s="770">
        <f>'4D Wastewater treatment and dis'!AW169</f>
        <v>3.2292880096339567</v>
      </c>
      <c r="L106" s="771">
        <f t="shared" si="111"/>
        <v>12783.59253156854</v>
      </c>
      <c r="M106" s="772">
        <f t="shared" si="112"/>
        <v>15.195818703270968</v>
      </c>
      <c r="N106" s="771">
        <f t="shared" si="113"/>
        <v>1289.4737585347077</v>
      </c>
      <c r="O106" s="773">
        <f t="shared" si="114"/>
        <v>168.10206065180188</v>
      </c>
      <c r="P106" s="771">
        <f t="shared" si="115"/>
        <v>5030.9273143213595</v>
      </c>
      <c r="Q106" s="519">
        <f t="shared" si="74"/>
        <v>12783.59253156854</v>
      </c>
      <c r="R106" s="521">
        <f t="shared" si="75"/>
        <v>1304.6695772379787</v>
      </c>
      <c r="S106" s="518">
        <f t="shared" si="76"/>
        <v>168.10206065180188</v>
      </c>
      <c r="T106" s="519">
        <f t="shared" si="77"/>
        <v>5030.9273143213595</v>
      </c>
      <c r="U106" s="519">
        <f t="shared" si="78"/>
        <v>19287.291483779678</v>
      </c>
    </row>
    <row r="107" spans="1:21">
      <c r="A107" s="4">
        <f>'Input data'!A128</f>
        <v>2028</v>
      </c>
      <c r="B107" s="4"/>
      <c r="C107" s="769">
        <f>'4A SWD Case 2'!BG98</f>
        <v>585.92608616520954</v>
      </c>
      <c r="D107" s="3">
        <f>'4B Biological treatment '!T160</f>
        <v>0.72702573700487716</v>
      </c>
      <c r="E107" s="1159">
        <f>'4B Biological treatment '!U160</f>
        <v>32.716158165219468</v>
      </c>
      <c r="F107" s="1159">
        <f>'4B Biological treatment '!W160</f>
        <v>1.962969489913168</v>
      </c>
      <c r="G107" s="952">
        <f>'4C2 Open-burning '!R133</f>
        <v>16.311774076310044</v>
      </c>
      <c r="H107" s="952">
        <f>'4C2 Open-burning '!Z133</f>
        <v>5.4884125856374997</v>
      </c>
      <c r="I107" s="952">
        <f>'4C2 Open-burning '!AH133</f>
        <v>7.6407966602323005E-2</v>
      </c>
      <c r="J107" s="987">
        <f>'4D Wastewater treatment and dis'!AV170</f>
        <v>198.15572617261648</v>
      </c>
      <c r="K107" s="770">
        <f>'4D Wastewater treatment and dis'!AW170</f>
        <v>3.2610534820454951</v>
      </c>
      <c r="L107" s="771">
        <f t="shared" si="111"/>
        <v>12304.4478094694</v>
      </c>
      <c r="M107" s="772">
        <f t="shared" si="112"/>
        <v>15.26754047710242</v>
      </c>
      <c r="N107" s="771">
        <f t="shared" si="113"/>
        <v>1295.5598633426907</v>
      </c>
      <c r="O107" s="773">
        <f t="shared" si="114"/>
        <v>155.25490802141766</v>
      </c>
      <c r="P107" s="771">
        <f t="shared" si="115"/>
        <v>5172.1968290590494</v>
      </c>
      <c r="Q107" s="519">
        <f t="shared" si="74"/>
        <v>12304.4478094694</v>
      </c>
      <c r="R107" s="521">
        <f t="shared" si="75"/>
        <v>1310.8274038197931</v>
      </c>
      <c r="S107" s="518">
        <f t="shared" si="76"/>
        <v>155.25490802141766</v>
      </c>
      <c r="T107" s="519">
        <f t="shared" si="77"/>
        <v>5172.1968290590494</v>
      </c>
      <c r="U107" s="519">
        <f t="shared" si="78"/>
        <v>18942.726950369659</v>
      </c>
    </row>
    <row r="108" spans="1:21">
      <c r="A108" s="4">
        <f>'Input data'!A129</f>
        <v>2029</v>
      </c>
      <c r="B108" s="4"/>
      <c r="C108" s="769">
        <f>'4A SWD Case 2'!BG99</f>
        <v>563.86235109711458</v>
      </c>
      <c r="D108" s="3">
        <f>'4B Biological treatment '!T161</f>
        <v>0.7305540346149062</v>
      </c>
      <c r="E108" s="1159">
        <f>'4B Biological treatment '!U161</f>
        <v>32.874931557670777</v>
      </c>
      <c r="F108" s="1159">
        <f>'4B Biological treatment '!W161</f>
        <v>1.9724958934602463</v>
      </c>
      <c r="G108" s="952">
        <f>'4C2 Open-burning '!R134</f>
        <v>14.934737796150557</v>
      </c>
      <c r="H108" s="952">
        <f>'4C2 Open-burning '!Z134</f>
        <v>5.0250820358426109</v>
      </c>
      <c r="I108" s="952">
        <f>'4C2 Open-burning '!AH134</f>
        <v>6.9957623334178959E-2</v>
      </c>
      <c r="J108" s="987">
        <f>'4D Wastewater treatment and dis'!AV171</f>
        <v>204.52099299756838</v>
      </c>
      <c r="K108" s="770">
        <f>'4D Wastewater treatment and dis'!AW171</f>
        <v>3.2931719041504954</v>
      </c>
      <c r="L108" s="771">
        <f t="shared" si="111"/>
        <v>11841.109373039406</v>
      </c>
      <c r="M108" s="772">
        <f t="shared" si="112"/>
        <v>15.34163472691303</v>
      </c>
      <c r="N108" s="771">
        <f t="shared" si="113"/>
        <v>1301.8472896837627</v>
      </c>
      <c r="O108" s="773">
        <f t="shared" si="114"/>
        <v>142.14832378244085</v>
      </c>
      <c r="P108" s="771">
        <f t="shared" si="115"/>
        <v>5315.8241432355899</v>
      </c>
      <c r="Q108" s="519">
        <f t="shared" si="74"/>
        <v>11841.109373039406</v>
      </c>
      <c r="R108" s="521">
        <f t="shared" si="75"/>
        <v>1317.1889244106758</v>
      </c>
      <c r="S108" s="518">
        <f t="shared" si="76"/>
        <v>142.14832378244085</v>
      </c>
      <c r="T108" s="519">
        <f t="shared" si="77"/>
        <v>5315.8241432355899</v>
      </c>
      <c r="U108" s="519">
        <f t="shared" si="78"/>
        <v>18616.270764468114</v>
      </c>
    </row>
    <row r="109" spans="1:21">
      <c r="A109" s="4">
        <f>'Input data'!A130</f>
        <v>2030</v>
      </c>
      <c r="B109" s="4"/>
      <c r="C109" s="769">
        <f>'4A SWD Case 2'!BG100</f>
        <v>542.48636620932109</v>
      </c>
      <c r="D109" s="3">
        <f>'4B Biological treatment '!T162</f>
        <v>0.73420573573740433</v>
      </c>
      <c r="E109" s="1159">
        <f>'4B Biological treatment '!U162</f>
        <v>33.039258108183191</v>
      </c>
      <c r="F109" s="1159">
        <f>'4B Biological treatment '!W162</f>
        <v>1.9823554864909911</v>
      </c>
      <c r="G109" s="952">
        <f>'4C2 Open-burning '!R135</f>
        <v>13.529544259453219</v>
      </c>
      <c r="H109" s="952">
        <f>'4C2 Open-burning '!Z135</f>
        <v>4.5522774312676324</v>
      </c>
      <c r="I109" s="952">
        <f>'4C2 Open-burning '!AH135</f>
        <v>6.3375385233069945E-2</v>
      </c>
      <c r="J109" s="987">
        <f>'4D Wastewater treatment and dis'!AV172</f>
        <v>210.99154590506851</v>
      </c>
      <c r="K109" s="770">
        <f>'4D Wastewater treatment and dis'!AW172</f>
        <v>3.3255928545641762</v>
      </c>
      <c r="L109" s="771">
        <f t="shared" si="111"/>
        <v>11392.213690395743</v>
      </c>
      <c r="M109" s="772">
        <f t="shared" si="112"/>
        <v>15.41832045048549</v>
      </c>
      <c r="N109" s="771">
        <f t="shared" si="113"/>
        <v>1308.3546210840541</v>
      </c>
      <c r="O109" s="773">
        <f t="shared" si="114"/>
        <v>128.77373973832519</v>
      </c>
      <c r="P109" s="771">
        <f t="shared" si="115"/>
        <v>5461.7562489213324</v>
      </c>
      <c r="Q109" s="519">
        <f t="shared" si="74"/>
        <v>11392.213690395743</v>
      </c>
      <c r="R109" s="521">
        <f t="shared" si="75"/>
        <v>1323.7729415345395</v>
      </c>
      <c r="S109" s="518">
        <f t="shared" si="76"/>
        <v>128.77373973832519</v>
      </c>
      <c r="T109" s="519">
        <f t="shared" si="77"/>
        <v>5461.7562489213324</v>
      </c>
      <c r="U109" s="519">
        <f t="shared" si="78"/>
        <v>18306.51662058994</v>
      </c>
    </row>
    <row r="110" spans="1:21">
      <c r="A110" s="4">
        <f>'Input data'!A131</f>
        <v>2031</v>
      </c>
      <c r="B110" s="4"/>
      <c r="C110" s="769">
        <f>'4A SWD Case 2'!BG101</f>
        <v>521.73579205773842</v>
      </c>
      <c r="D110" s="3">
        <f>'4B Biological treatment '!T163</f>
        <v>0.73859047110474463</v>
      </c>
      <c r="E110" s="1159">
        <f>'4B Biological treatment '!U163</f>
        <v>33.236571199713502</v>
      </c>
      <c r="F110" s="1159">
        <f>'4B Biological treatment '!W163</f>
        <v>1.9941942719828099</v>
      </c>
      <c r="G110" s="952">
        <f>'4C2 Open-burning '!R136</f>
        <v>11.932133633461715</v>
      </c>
      <c r="H110" s="952">
        <f>'4C2 Open-burning '!Z136</f>
        <v>4.0147976609429739</v>
      </c>
      <c r="I110" s="952">
        <f>'4C2 Open-burning '!AH136</f>
        <v>5.5892759665185344E-2</v>
      </c>
      <c r="J110" s="987">
        <f>'4D Wastewater treatment and dis'!AV173</f>
        <v>212.79256841014094</v>
      </c>
      <c r="K110" s="770">
        <f>'4D Wastewater treatment and dis'!AW173</f>
        <v>3.3539800941954407</v>
      </c>
      <c r="L110" s="771">
        <f t="shared" si="111"/>
        <v>10956.451633212508</v>
      </c>
      <c r="M110" s="772">
        <f t="shared" si="112"/>
        <v>15.510399893199637</v>
      </c>
      <c r="N110" s="771">
        <f t="shared" si="113"/>
        <v>1316.1682195086546</v>
      </c>
      <c r="O110" s="773">
        <f t="shared" si="114"/>
        <v>113.56964000947163</v>
      </c>
      <c r="P110" s="771">
        <f t="shared" si="115"/>
        <v>5508.3777658135459</v>
      </c>
      <c r="Q110" s="519">
        <f t="shared" si="74"/>
        <v>10956.451633212508</v>
      </c>
      <c r="R110" s="521">
        <f t="shared" si="75"/>
        <v>1331.6786194018543</v>
      </c>
      <c r="S110" s="518">
        <f t="shared" si="76"/>
        <v>113.56964000947163</v>
      </c>
      <c r="T110" s="519">
        <f t="shared" si="77"/>
        <v>5508.3777658135459</v>
      </c>
      <c r="U110" s="519">
        <f t="shared" si="78"/>
        <v>17910.077658437382</v>
      </c>
    </row>
    <row r="111" spans="1:21">
      <c r="A111" s="4">
        <f>'Input data'!A132</f>
        <v>2032</v>
      </c>
      <c r="B111" s="4"/>
      <c r="C111" s="769">
        <f>'4A SWD Case 2'!BG102</f>
        <v>501.42563810008443</v>
      </c>
      <c r="D111" s="3">
        <f>'4B Biological treatment '!T164</f>
        <v>0.74276924427169644</v>
      </c>
      <c r="E111" s="1159">
        <f>'4B Biological treatment '!U164</f>
        <v>33.424615992226336</v>
      </c>
      <c r="F111" s="1159">
        <f>'4B Biological treatment '!W164</f>
        <v>2.00547695953358</v>
      </c>
      <c r="G111" s="952">
        <f>'4C2 Open-burning '!R137</f>
        <v>10.344640301197273</v>
      </c>
      <c r="H111" s="952">
        <f>'4C2 Open-burning '!Z137</f>
        <v>3.4806547563358281</v>
      </c>
      <c r="I111" s="952">
        <f>'4C2 Open-burning '!AH137</f>
        <v>4.8456588900091524E-2</v>
      </c>
      <c r="J111" s="987">
        <f>'4D Wastewater treatment and dis'!AV174</f>
        <v>214.6095857864839</v>
      </c>
      <c r="K111" s="770">
        <f>'4D Wastewater treatment and dis'!AW174</f>
        <v>3.3826194407506049</v>
      </c>
      <c r="L111" s="771">
        <f t="shared" si="111"/>
        <v>10529.938400101773</v>
      </c>
      <c r="M111" s="772">
        <f t="shared" si="112"/>
        <v>15.598154129705625</v>
      </c>
      <c r="N111" s="771">
        <f t="shared" si="113"/>
        <v>1323.6147932921629</v>
      </c>
      <c r="O111" s="773">
        <f t="shared" si="114"/>
        <v>98.459932743278046</v>
      </c>
      <c r="P111" s="771">
        <f t="shared" si="115"/>
        <v>5555.4133281488503</v>
      </c>
      <c r="Q111" s="519">
        <f t="shared" si="74"/>
        <v>10529.938400101773</v>
      </c>
      <c r="R111" s="521">
        <f t="shared" si="75"/>
        <v>1339.2129474218684</v>
      </c>
      <c r="S111" s="518">
        <f t="shared" si="76"/>
        <v>98.459932743278046</v>
      </c>
      <c r="T111" s="519">
        <f t="shared" si="77"/>
        <v>5555.4133281488503</v>
      </c>
      <c r="U111" s="519">
        <f t="shared" si="78"/>
        <v>17523.02460841577</v>
      </c>
    </row>
    <row r="112" spans="1:21">
      <c r="A112" s="4">
        <f>'Input data'!A133</f>
        <v>2033</v>
      </c>
      <c r="B112" s="4"/>
      <c r="C112" s="769">
        <f>'4A SWD Case 2'!BG103</f>
        <v>481.53212515800794</v>
      </c>
      <c r="D112" s="3">
        <f>'4B Biological treatment '!T165</f>
        <v>0.74741034609099699</v>
      </c>
      <c r="E112" s="1159">
        <f>'4B Biological treatment '!U165</f>
        <v>33.633465574094863</v>
      </c>
      <c r="F112" s="1159">
        <f>'4B Biological treatment '!W165</f>
        <v>2.0180079344456914</v>
      </c>
      <c r="G112" s="952">
        <f>'4C2 Open-burning '!R138</f>
        <v>10.314004646981584</v>
      </c>
      <c r="H112" s="952">
        <f>'4C2 Open-burning '!Z138</f>
        <v>3.4703467966142174</v>
      </c>
      <c r="I112" s="952">
        <f>'4C2 Open-burning '!AH138</f>
        <v>4.8313084702865522E-2</v>
      </c>
      <c r="J112" s="987">
        <f>'4D Wastewater treatment and dis'!AV175</f>
        <v>216.43939905984345</v>
      </c>
      <c r="K112" s="770">
        <f>'4D Wastewater treatment and dis'!AW175</f>
        <v>3.4114604728448907</v>
      </c>
      <c r="L112" s="771">
        <f t="shared" si="111"/>
        <v>10112.174628318167</v>
      </c>
      <c r="M112" s="772">
        <f t="shared" si="112"/>
        <v>15.695617267910936</v>
      </c>
      <c r="N112" s="771">
        <f t="shared" si="113"/>
        <v>1331.8852367341565</v>
      </c>
      <c r="O112" s="773">
        <f t="shared" si="114"/>
        <v>98.168343633768458</v>
      </c>
      <c r="P112" s="771">
        <f t="shared" si="115"/>
        <v>5602.7801268386283</v>
      </c>
      <c r="Q112" s="519">
        <f t="shared" si="74"/>
        <v>10112.174628318167</v>
      </c>
      <c r="R112" s="521">
        <f t="shared" si="75"/>
        <v>1347.5808540020673</v>
      </c>
      <c r="S112" s="518">
        <f t="shared" si="76"/>
        <v>98.168343633768458</v>
      </c>
      <c r="T112" s="519">
        <f t="shared" si="77"/>
        <v>5602.7801268386283</v>
      </c>
      <c r="U112" s="519">
        <f t="shared" si="78"/>
        <v>17160.703952792632</v>
      </c>
    </row>
    <row r="113" spans="1:21">
      <c r="A113" s="4">
        <f>'Input data'!A134</f>
        <v>2034</v>
      </c>
      <c r="B113" s="4"/>
      <c r="C113" s="769">
        <f>'4A SWD Case 2'!BG104</f>
        <v>462.62039422858533</v>
      </c>
      <c r="D113" s="3">
        <f>'4B Biological treatment '!T166</f>
        <v>0.75237299227377297</v>
      </c>
      <c r="E113" s="1159">
        <f>'4B Biological treatment '!U166</f>
        <v>33.856784652319782</v>
      </c>
      <c r="F113" s="1159">
        <f>'4B Biological treatment '!W166</f>
        <v>2.0314070791391865</v>
      </c>
      <c r="G113" s="952">
        <f>'4C2 Open-burning '!R139</f>
        <v>10.283748510657539</v>
      </c>
      <c r="H113" s="952">
        <f>'4C2 Open-burning '!Z139</f>
        <v>3.4601665330440619</v>
      </c>
      <c r="I113" s="952">
        <f>'4C2 Open-burning '!AH139</f>
        <v>4.8171358251594937E-2</v>
      </c>
      <c r="J113" s="987">
        <f>'4D Wastewater treatment and dis'!AV176</f>
        <v>218.28840617872763</v>
      </c>
      <c r="K113" s="770">
        <f>'4D Wastewater treatment and dis'!AW176</f>
        <v>3.4406040332478574</v>
      </c>
      <c r="L113" s="771">
        <f t="shared" si="111"/>
        <v>9715.0282788002914</v>
      </c>
      <c r="M113" s="772">
        <f t="shared" si="112"/>
        <v>15.799832837749232</v>
      </c>
      <c r="N113" s="771">
        <f t="shared" si="113"/>
        <v>1340.7286722318631</v>
      </c>
      <c r="O113" s="773">
        <f t="shared" si="114"/>
        <v>97.880366762577253</v>
      </c>
      <c r="P113" s="771">
        <f t="shared" si="115"/>
        <v>5650.6437800601161</v>
      </c>
      <c r="Q113" s="519">
        <f t="shared" si="74"/>
        <v>9715.0282788002914</v>
      </c>
      <c r="R113" s="521">
        <f t="shared" si="75"/>
        <v>1356.5285050696123</v>
      </c>
      <c r="S113" s="518">
        <f t="shared" si="76"/>
        <v>97.880366762577253</v>
      </c>
      <c r="T113" s="519">
        <f t="shared" si="77"/>
        <v>5650.6437800601161</v>
      </c>
      <c r="U113" s="519">
        <f t="shared" si="78"/>
        <v>16820.080930692598</v>
      </c>
    </row>
    <row r="114" spans="1:21">
      <c r="A114" s="4">
        <f>'Input data'!A135</f>
        <v>2035</v>
      </c>
      <c r="B114" s="4"/>
      <c r="C114" s="769">
        <f>'4A SWD Case 2'!BG105</f>
        <v>444.64260411623962</v>
      </c>
      <c r="D114" s="3">
        <f>'4B Biological treatment '!T167</f>
        <v>0.7576771707128892</v>
      </c>
      <c r="E114" s="1159">
        <f>'4B Biological treatment '!U167</f>
        <v>34.095472682080015</v>
      </c>
      <c r="F114" s="1159">
        <f>'4B Biological treatment '!W167</f>
        <v>2.0457283609248007</v>
      </c>
      <c r="G114" s="952">
        <f>'4C2 Open-burning '!R140</f>
        <v>10.253970849261581</v>
      </c>
      <c r="H114" s="952">
        <f>'4C2 Open-burning '!Z140</f>
        <v>3.4501472616385209</v>
      </c>
      <c r="I114" s="952">
        <f>'4C2 Open-burning '!AH140</f>
        <v>4.8031873082980327E-2</v>
      </c>
      <c r="J114" s="987">
        <f>'4D Wastewater treatment and dis'!AV177</f>
        <v>220.15020919462836</v>
      </c>
      <c r="K114" s="770">
        <f>'4D Wastewater treatment and dis'!AW177</f>
        <v>3.4699492791899456</v>
      </c>
      <c r="L114" s="771">
        <f t="shared" si="111"/>
        <v>9337.4946864410322</v>
      </c>
      <c r="M114" s="772">
        <f t="shared" si="112"/>
        <v>15.911220584970673</v>
      </c>
      <c r="N114" s="771">
        <f t="shared" si="113"/>
        <v>1350.1807182103685</v>
      </c>
      <c r="O114" s="773">
        <f t="shared" si="114"/>
        <v>97.596943999394412</v>
      </c>
      <c r="P114" s="771">
        <f t="shared" si="115"/>
        <v>5698.8386696360794</v>
      </c>
      <c r="Q114" s="519">
        <f t="shared" si="74"/>
        <v>9337.4946864410322</v>
      </c>
      <c r="R114" s="521">
        <f t="shared" si="75"/>
        <v>1366.091938795339</v>
      </c>
      <c r="S114" s="518">
        <f t="shared" si="76"/>
        <v>97.596943999394412</v>
      </c>
      <c r="T114" s="519">
        <f t="shared" si="77"/>
        <v>5698.8386696360794</v>
      </c>
      <c r="U114" s="519">
        <f t="shared" si="78"/>
        <v>16500.022238871847</v>
      </c>
    </row>
    <row r="115" spans="1:21">
      <c r="A115" s="4">
        <f>'Input data'!A136</f>
        <v>2036</v>
      </c>
      <c r="B115" s="4"/>
      <c r="C115" s="769">
        <f>'4A SWD Case 2'!BG106</f>
        <v>427.55319616797794</v>
      </c>
      <c r="D115" s="3">
        <f>'4B Biological treatment '!T168</f>
        <v>0.76313821065905252</v>
      </c>
      <c r="E115" s="1159">
        <f>'4B Biological treatment '!U168</f>
        <v>34.341219479657354</v>
      </c>
      <c r="F115" s="1159">
        <f>'4B Biological treatment '!W168</f>
        <v>2.0604731687794411</v>
      </c>
      <c r="G115" s="952">
        <f>'4C2 Open-burning '!R141</f>
        <v>10.228723794654844</v>
      </c>
      <c r="H115" s="952">
        <f>'4C2 Open-burning '!Z141</f>
        <v>3.4416524007113369</v>
      </c>
      <c r="I115" s="952">
        <f>'4C2 Open-burning '!AH141</f>
        <v>4.7913610281143201E-2</v>
      </c>
      <c r="J115" s="987">
        <f>'4D Wastewater treatment and dis'!AV178</f>
        <v>221.76249221870739</v>
      </c>
      <c r="K115" s="770">
        <f>'4D Wastewater treatment and dis'!AW178</f>
        <v>3.4953616571191763</v>
      </c>
      <c r="L115" s="771">
        <f t="shared" si="111"/>
        <v>8978.6171195275365</v>
      </c>
      <c r="M115" s="772">
        <f t="shared" si="112"/>
        <v>16.025902423840101</v>
      </c>
      <c r="N115" s="771">
        <f t="shared" si="113"/>
        <v>1359.9122913944311</v>
      </c>
      <c r="O115" s="773">
        <f t="shared" si="114"/>
        <v>97.356643396747316</v>
      </c>
      <c r="P115" s="771">
        <f t="shared" si="115"/>
        <v>5740.5744502998004</v>
      </c>
      <c r="Q115" s="519">
        <f t="shared" si="74"/>
        <v>8978.6171195275365</v>
      </c>
      <c r="R115" s="521">
        <f t="shared" si="75"/>
        <v>1375.9381938182712</v>
      </c>
      <c r="S115" s="518">
        <f t="shared" si="76"/>
        <v>97.356643396747316</v>
      </c>
      <c r="T115" s="519">
        <f t="shared" si="77"/>
        <v>5740.5744502998004</v>
      </c>
      <c r="U115" s="519">
        <f t="shared" si="78"/>
        <v>16192.486407042355</v>
      </c>
    </row>
    <row r="116" spans="1:21">
      <c r="A116" s="4">
        <f>'Input data'!A137</f>
        <v>2037</v>
      </c>
      <c r="B116" s="4"/>
      <c r="C116" s="769">
        <f>'4A SWD Case 2'!BG107</f>
        <v>411.30694103475776</v>
      </c>
      <c r="D116" s="3">
        <f>'4B Biological treatment '!T169</f>
        <v>0.76883171848962029</v>
      </c>
      <c r="E116" s="1159">
        <f>'4B Biological treatment '!U169</f>
        <v>34.597427332032908</v>
      </c>
      <c r="F116" s="1159">
        <f>'4B Biological treatment '!W169</f>
        <v>2.0758456399219742</v>
      </c>
      <c r="G116" s="952">
        <f>'4C2 Open-burning '!R142</f>
        <v>10.20381658806048</v>
      </c>
      <c r="H116" s="952">
        <f>'4C2 Open-burning '!Z142</f>
        <v>3.433271888235744</v>
      </c>
      <c r="I116" s="952">
        <f>'4C2 Open-burning '!AH142</f>
        <v>4.779693940275094E-2</v>
      </c>
      <c r="J116" s="987">
        <f>'4D Wastewater treatment and dis'!AV179</f>
        <v>223.38437216554874</v>
      </c>
      <c r="K116" s="770">
        <f>'4D Wastewater treatment and dis'!AW179</f>
        <v>3.5209252992027475</v>
      </c>
      <c r="L116" s="771">
        <f t="shared" si="111"/>
        <v>8637.4457617299122</v>
      </c>
      <c r="M116" s="772">
        <f t="shared" si="112"/>
        <v>16.145466088282028</v>
      </c>
      <c r="N116" s="771">
        <f t="shared" si="113"/>
        <v>1370.058122348503</v>
      </c>
      <c r="O116" s="773">
        <f t="shared" si="114"/>
        <v>97.11957745586389</v>
      </c>
      <c r="P116" s="771">
        <f t="shared" si="115"/>
        <v>5782.5586582293754</v>
      </c>
      <c r="Q116" s="519">
        <f t="shared" si="74"/>
        <v>8637.4457617299122</v>
      </c>
      <c r="R116" s="521">
        <f t="shared" si="75"/>
        <v>1386.2035884367851</v>
      </c>
      <c r="S116" s="518">
        <f t="shared" si="76"/>
        <v>97.11957745586389</v>
      </c>
      <c r="T116" s="519">
        <f t="shared" si="77"/>
        <v>5782.5586582293754</v>
      </c>
      <c r="U116" s="519">
        <f t="shared" si="78"/>
        <v>15903.327585851937</v>
      </c>
    </row>
    <row r="117" spans="1:21">
      <c r="A117" s="4">
        <f>'Input data'!A138</f>
        <v>2038</v>
      </c>
      <c r="B117" s="4"/>
      <c r="C117" s="769">
        <f>'4A SWD Case 2'!BG108</f>
        <v>395.86273137822707</v>
      </c>
      <c r="D117" s="3">
        <f>'4B Biological treatment '!T170</f>
        <v>0.77461213020220843</v>
      </c>
      <c r="E117" s="1159">
        <f>'4B Biological treatment '!U170</f>
        <v>34.857545859099375</v>
      </c>
      <c r="F117" s="1159">
        <f>'4B Biological treatment '!W170</f>
        <v>2.0914527515459622</v>
      </c>
      <c r="G117" s="952">
        <f>'4C2 Open-burning '!R143</f>
        <v>10.179148263724461</v>
      </c>
      <c r="H117" s="952">
        <f>'4C2 Open-burning '!Z143</f>
        <v>3.4249717523266137</v>
      </c>
      <c r="I117" s="952">
        <f>'4C2 Open-burning '!AH143</f>
        <v>4.76813875018244E-2</v>
      </c>
      <c r="J117" s="987">
        <f>'4D Wastewater treatment and dis'!AV180</f>
        <v>225.02224698366075</v>
      </c>
      <c r="K117" s="770">
        <f>'4D Wastewater treatment and dis'!AW180</f>
        <v>3.5467410482102202</v>
      </c>
      <c r="L117" s="771">
        <f t="shared" si="111"/>
        <v>8313.117358942769</v>
      </c>
      <c r="M117" s="772">
        <f t="shared" si="112"/>
        <v>16.266854734246376</v>
      </c>
      <c r="N117" s="771">
        <f t="shared" si="113"/>
        <v>1380.3588160203353</v>
      </c>
      <c r="O117" s="773">
        <f t="shared" si="114"/>
        <v>96.884785188148896</v>
      </c>
      <c r="P117" s="771">
        <f t="shared" si="115"/>
        <v>5824.9569116020448</v>
      </c>
      <c r="Q117" s="519">
        <f t="shared" si="74"/>
        <v>8313.117358942769</v>
      </c>
      <c r="R117" s="521">
        <f t="shared" si="75"/>
        <v>1396.6256707545817</v>
      </c>
      <c r="S117" s="518">
        <f t="shared" si="76"/>
        <v>96.884785188148896</v>
      </c>
      <c r="T117" s="519">
        <f t="shared" si="77"/>
        <v>5824.9569116020448</v>
      </c>
      <c r="U117" s="519">
        <f t="shared" si="78"/>
        <v>15631.584726487545</v>
      </c>
    </row>
    <row r="118" spans="1:21">
      <c r="A118" s="4">
        <f>'Input data'!A139</f>
        <v>2039</v>
      </c>
      <c r="B118" s="4"/>
      <c r="C118" s="769">
        <f>'4A SWD Case 2'!BG109</f>
        <v>381.18150721602018</v>
      </c>
      <c r="D118" s="3">
        <f>'4B Biological treatment '!T171</f>
        <v>0.78063022403212257</v>
      </c>
      <c r="E118" s="1159">
        <f>'4B Biological treatment '!U171</f>
        <v>35.128360081445507</v>
      </c>
      <c r="F118" s="1159">
        <f>'4B Biological treatment '!W171</f>
        <v>2.1077016048867305</v>
      </c>
      <c r="G118" s="952">
        <f>'4C2 Open-burning '!R144</f>
        <v>10.154812472932907</v>
      </c>
      <c r="H118" s="952">
        <f>'4C2 Open-burning '!Z144</f>
        <v>3.4167835037745578</v>
      </c>
      <c r="I118" s="952">
        <f>'4C2 Open-burning '!AH144</f>
        <v>4.7567393261753188E-2</v>
      </c>
      <c r="J118" s="987">
        <f>'4D Wastewater treatment and dis'!AV181</f>
        <v>226.66971872453522</v>
      </c>
      <c r="K118" s="770">
        <f>'4D Wastewater treatment and dis'!AW181</f>
        <v>3.5727080613720332</v>
      </c>
      <c r="L118" s="771">
        <f t="shared" si="111"/>
        <v>8004.8116515364236</v>
      </c>
      <c r="M118" s="772">
        <f t="shared" si="112"/>
        <v>16.393234704674573</v>
      </c>
      <c r="N118" s="771">
        <f t="shared" si="113"/>
        <v>1391.0830592252421</v>
      </c>
      <c r="O118" s="773">
        <f t="shared" si="114"/>
        <v>96.65315796334211</v>
      </c>
      <c r="P118" s="771">
        <f t="shared" si="115"/>
        <v>5867.6035922405699</v>
      </c>
      <c r="Q118" s="519">
        <f t="shared" si="74"/>
        <v>8004.8116515364236</v>
      </c>
      <c r="R118" s="521">
        <f t="shared" si="75"/>
        <v>1407.4762939299167</v>
      </c>
      <c r="S118" s="518">
        <f t="shared" si="76"/>
        <v>96.65315796334211</v>
      </c>
      <c r="T118" s="519">
        <f t="shared" si="77"/>
        <v>5867.6035922405699</v>
      </c>
      <c r="U118" s="519">
        <f t="shared" si="78"/>
        <v>15376.544695670253</v>
      </c>
    </row>
    <row r="119" spans="1:21">
      <c r="A119" s="4">
        <f>'Input data'!A140</f>
        <v>2040</v>
      </c>
      <c r="B119" s="4"/>
      <c r="C119" s="769">
        <f>'4A SWD Case 2'!BG110</f>
        <v>367.2260647271425</v>
      </c>
      <c r="D119" s="3">
        <f>'4B Biological treatment '!T172</f>
        <v>0.78701679032180316</v>
      </c>
      <c r="E119" s="1159">
        <f>'4B Biological treatment '!U172</f>
        <v>35.415755564481138</v>
      </c>
      <c r="F119" s="1159">
        <f>'4B Biological treatment '!W172</f>
        <v>2.124945333868868</v>
      </c>
      <c r="G119" s="952">
        <f>'4C2 Open-burning '!R145</f>
        <v>10.130803750690212</v>
      </c>
      <c r="H119" s="952">
        <f>'4C2 Open-burning '!Z145</f>
        <v>3.4087053037758683</v>
      </c>
      <c r="I119" s="952">
        <f>'4C2 Open-burning '!AH145</f>
        <v>4.7454931083286141E-2</v>
      </c>
      <c r="J119" s="987">
        <f>'4D Wastewater treatment and dis'!AV182</f>
        <v>228.32678738817191</v>
      </c>
      <c r="K119" s="770">
        <f>'4D Wastewater treatment and dis'!AW182</f>
        <v>3.5988263386881876</v>
      </c>
      <c r="L119" s="771">
        <f t="shared" si="111"/>
        <v>7711.7473592699926</v>
      </c>
      <c r="M119" s="772">
        <f t="shared" si="112"/>
        <v>16.527352596757865</v>
      </c>
      <c r="N119" s="771">
        <f t="shared" si="113"/>
        <v>1402.463920353453</v>
      </c>
      <c r="O119" s="773">
        <f t="shared" si="114"/>
        <v>96.424643765802159</v>
      </c>
      <c r="P119" s="771">
        <f t="shared" si="115"/>
        <v>5910.4987001449481</v>
      </c>
      <c r="Q119" s="519">
        <f t="shared" si="74"/>
        <v>7711.7473592699926</v>
      </c>
      <c r="R119" s="521">
        <f t="shared" si="75"/>
        <v>1418.9912729502109</v>
      </c>
      <c r="S119" s="518">
        <f t="shared" si="76"/>
        <v>96.424643765802159</v>
      </c>
      <c r="T119" s="519">
        <f t="shared" si="77"/>
        <v>5910.4987001449481</v>
      </c>
      <c r="U119" s="519">
        <f t="shared" si="78"/>
        <v>15137.661976130954</v>
      </c>
    </row>
    <row r="120" spans="1:21">
      <c r="A120" s="4">
        <f>'Input data'!A141</f>
        <v>2041</v>
      </c>
      <c r="B120" s="4"/>
      <c r="C120" s="769">
        <f>'4A SWD Case 2'!BG111</f>
        <v>354.21421401246687</v>
      </c>
      <c r="D120" s="3">
        <f>'4B Biological treatment '!T173</f>
        <v>0.79366624085459558</v>
      </c>
      <c r="E120" s="1159">
        <f>'4B Biological treatment '!U173</f>
        <v>35.714980838456796</v>
      </c>
      <c r="F120" s="1159">
        <f>'4B Biological treatment '!W173</f>
        <v>2.1428988503074073</v>
      </c>
      <c r="G120" s="952">
        <f>'4C2 Open-burning '!R146</f>
        <v>10.11058891527121</v>
      </c>
      <c r="H120" s="952">
        <f>'4C2 Open-burning '!Z146</f>
        <v>3.4019036305420918</v>
      </c>
      <c r="I120" s="952">
        <f>'4C2 Open-burning '!AH146</f>
        <v>4.7360240311924248E-2</v>
      </c>
      <c r="J120" s="987">
        <f>'4D Wastewater treatment and dis'!AV183</f>
        <v>229.7471319570034</v>
      </c>
      <c r="K120" s="770">
        <f>'4D Wastewater treatment and dis'!AW183</f>
        <v>3.6212134335306052</v>
      </c>
      <c r="L120" s="771">
        <f t="shared" si="111"/>
        <v>7438.4984942618039</v>
      </c>
      <c r="M120" s="772">
        <f t="shared" si="112"/>
        <v>16.666991057946507</v>
      </c>
      <c r="N120" s="771">
        <f t="shared" si="113"/>
        <v>1414.313241202889</v>
      </c>
      <c r="O120" s="773">
        <f t="shared" si="114"/>
        <v>96.232239653351655</v>
      </c>
      <c r="P120" s="771">
        <f t="shared" si="115"/>
        <v>5947.2659354915595</v>
      </c>
      <c r="Q120" s="519">
        <f t="shared" si="74"/>
        <v>7438.4984942618039</v>
      </c>
      <c r="R120" s="521">
        <f t="shared" si="75"/>
        <v>1430.9802322608355</v>
      </c>
      <c r="S120" s="518">
        <f t="shared" si="76"/>
        <v>96.232239653351655</v>
      </c>
      <c r="T120" s="519">
        <f t="shared" si="77"/>
        <v>5947.2659354915595</v>
      </c>
      <c r="U120" s="519">
        <f t="shared" si="78"/>
        <v>14912.976901667549</v>
      </c>
    </row>
    <row r="121" spans="1:21">
      <c r="A121" s="4">
        <f>'Input data'!A142</f>
        <v>2042</v>
      </c>
      <c r="B121" s="4"/>
      <c r="C121" s="769">
        <f>'4A SWD Case 2'!BG112</f>
        <v>342.02453240406123</v>
      </c>
      <c r="D121" s="3">
        <f>'4B Biological treatment '!T174</f>
        <v>0.80059943256218458</v>
      </c>
      <c r="E121" s="1159">
        <f>'4B Biological treatment '!U174</f>
        <v>36.026974465298309</v>
      </c>
      <c r="F121" s="1159">
        <f>'4B Biological treatment '!W174</f>
        <v>2.161618467917898</v>
      </c>
      <c r="G121" s="952">
        <f>'4C2 Open-burning '!R147</f>
        <v>10.09061267071135</v>
      </c>
      <c r="H121" s="952">
        <f>'4C2 Open-burning '!Z147</f>
        <v>3.3951822358278685</v>
      </c>
      <c r="I121" s="952">
        <f>'4C2 Open-burning '!AH147</f>
        <v>4.726666715304962E-2</v>
      </c>
      <c r="J121" s="987">
        <f>'4D Wastewater treatment and dis'!AV184</f>
        <v>231.17387447434314</v>
      </c>
      <c r="K121" s="770">
        <f>'4D Wastewater treatment and dis'!AW184</f>
        <v>3.643701371142583</v>
      </c>
      <c r="L121" s="771">
        <f t="shared" si="111"/>
        <v>7182.5151804852858</v>
      </c>
      <c r="M121" s="772">
        <f t="shared" si="112"/>
        <v>16.812588083805878</v>
      </c>
      <c r="N121" s="771">
        <f t="shared" si="113"/>
        <v>1426.6681888258129</v>
      </c>
      <c r="O121" s="773">
        <f t="shared" si="114"/>
        <v>96.042106440541971</v>
      </c>
      <c r="P121" s="771">
        <f t="shared" si="115"/>
        <v>5984.1987890154069</v>
      </c>
      <c r="Q121" s="519">
        <f t="shared" si="74"/>
        <v>7182.5151804852858</v>
      </c>
      <c r="R121" s="521">
        <f t="shared" si="75"/>
        <v>1443.4807769096187</v>
      </c>
      <c r="S121" s="518">
        <f t="shared" si="76"/>
        <v>96.042106440541971</v>
      </c>
      <c r="T121" s="519">
        <f t="shared" si="77"/>
        <v>5984.1987890154069</v>
      </c>
      <c r="U121" s="519">
        <f t="shared" si="78"/>
        <v>14706.236852850854</v>
      </c>
    </row>
    <row r="122" spans="1:21">
      <c r="A122" s="4">
        <f>'Input data'!A143</f>
        <v>2043</v>
      </c>
      <c r="B122" s="4"/>
      <c r="C122" s="769">
        <f>'4A SWD Case 2'!BG113</f>
        <v>330.62149362156333</v>
      </c>
      <c r="D122" s="3">
        <f>'4B Biological treatment '!T175</f>
        <v>0.80779898466816624</v>
      </c>
      <c r="E122" s="1159">
        <f>'4B Biological treatment '!U175</f>
        <v>36.350954310067479</v>
      </c>
      <c r="F122" s="1159">
        <f>'4B Biological treatment '!W175</f>
        <v>2.1810572586040484</v>
      </c>
      <c r="G122" s="952">
        <f>'4C2 Open-burning '!R148</f>
        <v>10.070827702379546</v>
      </c>
      <c r="H122" s="952">
        <f>'4C2 Open-burning '!Z148</f>
        <v>3.3885251997083947</v>
      </c>
      <c r="I122" s="952">
        <f>'4C2 Open-burning '!AH148</f>
        <v>4.7173989974439126E-2</v>
      </c>
      <c r="J122" s="987">
        <f>'4D Wastewater treatment and dis'!AV185</f>
        <v>232.61021391444527</v>
      </c>
      <c r="K122" s="770">
        <f>'4D Wastewater treatment and dis'!AW185</f>
        <v>3.6663405729089016</v>
      </c>
      <c r="L122" s="771">
        <f t="shared" si="111"/>
        <v>6943.0513660528304</v>
      </c>
      <c r="M122" s="772">
        <f t="shared" si="112"/>
        <v>16.963778678031492</v>
      </c>
      <c r="N122" s="771">
        <f t="shared" si="113"/>
        <v>1439.4977906786721</v>
      </c>
      <c r="O122" s="773">
        <f t="shared" si="114"/>
        <v>95.85379378833197</v>
      </c>
      <c r="P122" s="771">
        <f t="shared" si="115"/>
        <v>6021.38006980511</v>
      </c>
      <c r="Q122" s="519">
        <f t="shared" si="74"/>
        <v>6943.0513660528304</v>
      </c>
      <c r="R122" s="521">
        <f t="shared" si="75"/>
        <v>1456.4615693567036</v>
      </c>
      <c r="S122" s="518">
        <f t="shared" si="76"/>
        <v>95.85379378833197</v>
      </c>
      <c r="T122" s="519">
        <f t="shared" si="77"/>
        <v>6021.38006980511</v>
      </c>
      <c r="U122" s="519">
        <f t="shared" si="78"/>
        <v>14516.746799002976</v>
      </c>
    </row>
    <row r="123" spans="1:21">
      <c r="A123" s="4">
        <f>'Input data'!A144</f>
        <v>2044</v>
      </c>
      <c r="B123" s="4"/>
      <c r="C123" s="769">
        <f>'4A SWD Case 2'!BG114</f>
        <v>319.97112931585372</v>
      </c>
      <c r="D123" s="3">
        <f>'4B Biological treatment '!T176</f>
        <v>0.81530356940003967</v>
      </c>
      <c r="E123" s="1159">
        <f>'4B Biological treatment '!U176</f>
        <v>36.68866062300178</v>
      </c>
      <c r="F123" s="1159">
        <f>'4B Biological treatment '!W176</f>
        <v>2.2013196373801067</v>
      </c>
      <c r="G123" s="952">
        <f>'4C2 Open-burning '!R149</f>
        <v>10.051275583241116</v>
      </c>
      <c r="H123" s="952">
        <f>'4C2 Open-burning '!Z149</f>
        <v>3.3819465102137247</v>
      </c>
      <c r="I123" s="952">
        <f>'4C2 Open-burning '!AH149</f>
        <v>4.7082403513080281E-2</v>
      </c>
      <c r="J123" s="987">
        <f>'4D Wastewater treatment and dis'!AV186</f>
        <v>234.05295130305572</v>
      </c>
      <c r="K123" s="770">
        <f>'4D Wastewater treatment and dis'!AW186</f>
        <v>3.6890806174447812</v>
      </c>
      <c r="L123" s="771">
        <f t="shared" si="111"/>
        <v>6719.3937156329284</v>
      </c>
      <c r="M123" s="772">
        <f t="shared" si="112"/>
        <v>17.121374957400832</v>
      </c>
      <c r="N123" s="771">
        <f t="shared" si="113"/>
        <v>1452.8709606708703</v>
      </c>
      <c r="O123" s="773">
        <f t="shared" si="114"/>
        <v>95.667697386784226</v>
      </c>
      <c r="P123" s="771">
        <f t="shared" si="115"/>
        <v>6058.7269687720527</v>
      </c>
      <c r="Q123" s="519">
        <f t="shared" si="74"/>
        <v>6719.3937156329284</v>
      </c>
      <c r="R123" s="521">
        <f t="shared" si="75"/>
        <v>1469.9923356282711</v>
      </c>
      <c r="S123" s="518">
        <f t="shared" si="76"/>
        <v>95.667697386784226</v>
      </c>
      <c r="T123" s="519">
        <f t="shared" si="77"/>
        <v>6058.7269687720527</v>
      </c>
      <c r="U123" s="519">
        <f t="shared" si="78"/>
        <v>14343.780717420035</v>
      </c>
    </row>
    <row r="124" spans="1:21">
      <c r="A124" s="4">
        <f>'Input data'!A145</f>
        <v>2045</v>
      </c>
      <c r="B124" s="4"/>
      <c r="C124" s="769">
        <f>'4A SWD Case 2'!BG115</f>
        <v>310.04097140589431</v>
      </c>
      <c r="D124" s="3">
        <f>'4B Biological treatment '!T177</f>
        <v>0.82327395893954247</v>
      </c>
      <c r="E124" s="1159">
        <f>'4B Biological treatment '!U177</f>
        <v>37.047328152279405</v>
      </c>
      <c r="F124" s="1159">
        <f>'4B Biological treatment '!W177</f>
        <v>2.2228396891367641</v>
      </c>
      <c r="G124" s="952">
        <f>'4C2 Open-burning '!R150</f>
        <v>10.031868174032496</v>
      </c>
      <c r="H124" s="952">
        <f>'4C2 Open-burning '!Z150</f>
        <v>3.3754165111800871</v>
      </c>
      <c r="I124" s="952">
        <f>'4C2 Open-burning '!AH150</f>
        <v>4.6991494905119391E-2</v>
      </c>
      <c r="J124" s="987">
        <f>'4D Wastewater treatment and dis'!AV187</f>
        <v>235.50848458868253</v>
      </c>
      <c r="K124" s="770">
        <f>'4D Wastewater treatment and dis'!AW187</f>
        <v>3.7120223475197802</v>
      </c>
      <c r="L124" s="771">
        <f t="shared" si="111"/>
        <v>6510.8603995237809</v>
      </c>
      <c r="M124" s="772">
        <f t="shared" si="112"/>
        <v>17.288753137730392</v>
      </c>
      <c r="N124" s="771">
        <f t="shared" si="113"/>
        <v>1467.0741948302643</v>
      </c>
      <c r="O124" s="773">
        <f t="shared" si="114"/>
        <v>95.482978329401334</v>
      </c>
      <c r="P124" s="771">
        <f t="shared" si="115"/>
        <v>6096.4051040934646</v>
      </c>
      <c r="Q124" s="519">
        <f t="shared" si="74"/>
        <v>6510.8603995237809</v>
      </c>
      <c r="R124" s="521">
        <f t="shared" si="75"/>
        <v>1484.3629479679946</v>
      </c>
      <c r="S124" s="518">
        <f t="shared" si="76"/>
        <v>95.482978329401334</v>
      </c>
      <c r="T124" s="519">
        <f t="shared" si="77"/>
        <v>6096.4051040934646</v>
      </c>
      <c r="U124" s="519">
        <f t="shared" si="78"/>
        <v>14187.111429914643</v>
      </c>
    </row>
    <row r="125" spans="1:21">
      <c r="A125" s="4">
        <f>'Input data'!A146</f>
        <v>2046</v>
      </c>
      <c r="B125" s="4"/>
      <c r="C125" s="769">
        <f>'4A SWD Case 2'!BG116</f>
        <v>300.80027530498313</v>
      </c>
      <c r="D125" s="3">
        <f>'4B Biological treatment '!T178</f>
        <v>0.83163845758400778</v>
      </c>
      <c r="E125" s="1159">
        <f>'4B Biological treatment '!U178</f>
        <v>37.423730591280346</v>
      </c>
      <c r="F125" s="1159">
        <f>'4B Biological treatment '!W178</f>
        <v>2.2454238354768203</v>
      </c>
      <c r="G125" s="952">
        <f>'4C2 Open-burning '!R151</f>
        <v>10.016107809927815</v>
      </c>
      <c r="H125" s="952">
        <f>'4C2 Open-burning '!Z151</f>
        <v>3.3701136311682811</v>
      </c>
      <c r="I125" s="952">
        <f>'4C2 Open-burning '!AH151</f>
        <v>4.6917669865088968E-2</v>
      </c>
      <c r="J125" s="987">
        <f>'4D Wastewater treatment and dis'!AV188</f>
        <v>236.70809993397941</v>
      </c>
      <c r="K125" s="770">
        <f>'4D Wastewater treatment and dis'!AW188</f>
        <v>3.7309303668123635</v>
      </c>
      <c r="L125" s="771">
        <f t="shared" si="111"/>
        <v>6316.805781404646</v>
      </c>
      <c r="M125" s="772">
        <f t="shared" si="112"/>
        <v>17.464407609264164</v>
      </c>
      <c r="N125" s="771">
        <f t="shared" si="113"/>
        <v>1481.9797314147017</v>
      </c>
      <c r="O125" s="773">
        <f t="shared" si="114"/>
        <v>95.3329717226393</v>
      </c>
      <c r="P125" s="771">
        <f t="shared" si="115"/>
        <v>6127.4585123254001</v>
      </c>
      <c r="Q125" s="519">
        <f t="shared" si="74"/>
        <v>6316.805781404646</v>
      </c>
      <c r="R125" s="521">
        <f t="shared" si="75"/>
        <v>1499.4441390239658</v>
      </c>
      <c r="S125" s="518">
        <f t="shared" si="76"/>
        <v>95.3329717226393</v>
      </c>
      <c r="T125" s="519">
        <f t="shared" si="77"/>
        <v>6127.4585123254001</v>
      </c>
      <c r="U125" s="519">
        <f t="shared" si="78"/>
        <v>14039.041404476651</v>
      </c>
    </row>
    <row r="126" spans="1:21">
      <c r="A126" s="4">
        <f>'Input data'!A147</f>
        <v>2047</v>
      </c>
      <c r="B126" s="4"/>
      <c r="C126" s="769">
        <f>'4A SWD Case 2'!BG117</f>
        <v>292.21776633081697</v>
      </c>
      <c r="D126" s="3">
        <f>'4B Biological treatment '!T179</f>
        <v>0.84040227956635705</v>
      </c>
      <c r="E126" s="1159">
        <f>'4B Biological treatment '!U179</f>
        <v>37.818102580486055</v>
      </c>
      <c r="F126" s="1159">
        <f>'4B Biological treatment '!W179</f>
        <v>2.269086154829163</v>
      </c>
      <c r="G126" s="952">
        <f>'4C2 Open-burning '!R152</f>
        <v>10.000431486540728</v>
      </c>
      <c r="H126" s="952">
        <f>'4C2 Open-burning '!Z152</f>
        <v>3.364839028285008</v>
      </c>
      <c r="I126" s="952">
        <f>'4C2 Open-burning '!AH152</f>
        <v>4.6844238490414199E-2</v>
      </c>
      <c r="J126" s="987">
        <f>'4D Wastewater treatment and dis'!AV189</f>
        <v>237.91731220203872</v>
      </c>
      <c r="K126" s="770">
        <f>'4D Wastewater treatment and dis'!AW189</f>
        <v>3.7499896502592862</v>
      </c>
      <c r="L126" s="771">
        <f t="shared" si="111"/>
        <v>6136.5730929471565</v>
      </c>
      <c r="M126" s="772">
        <f t="shared" si="112"/>
        <v>17.648447870893499</v>
      </c>
      <c r="N126" s="771">
        <f t="shared" si="113"/>
        <v>1497.5968621872476</v>
      </c>
      <c r="O126" s="773">
        <f t="shared" si="114"/>
        <v>95.183765012554304</v>
      </c>
      <c r="P126" s="771">
        <f t="shared" si="115"/>
        <v>6158.7603478231922</v>
      </c>
      <c r="Q126" s="519">
        <f t="shared" ref="Q126:Q129" si="116">L126</f>
        <v>6136.5730929471565</v>
      </c>
      <c r="R126" s="521">
        <f t="shared" ref="R126:R129" si="117">M126+N126</f>
        <v>1515.2453100581411</v>
      </c>
      <c r="S126" s="518">
        <f t="shared" ref="S126:S129" si="118">O126</f>
        <v>95.183765012554304</v>
      </c>
      <c r="T126" s="519">
        <f t="shared" ref="T126:T129" si="119">P126</f>
        <v>6158.7603478231922</v>
      </c>
      <c r="U126" s="519">
        <f t="shared" ref="U126:U129" si="120">SUM(Q126:T126)</f>
        <v>13905.762515841045</v>
      </c>
    </row>
    <row r="127" spans="1:21">
      <c r="A127" s="4">
        <f>'Input data'!A148</f>
        <v>2048</v>
      </c>
      <c r="B127" s="4"/>
      <c r="C127" s="769">
        <f>'4A SWD Case 2'!BG118</f>
        <v>284.26531877503862</v>
      </c>
      <c r="D127" s="3">
        <f>'4B Biological treatment '!T180</f>
        <v>0.84926691005184995</v>
      </c>
      <c r="E127" s="1159">
        <f>'4B Biological treatment '!U180</f>
        <v>38.21701095233324</v>
      </c>
      <c r="F127" s="1159">
        <f>'4B Biological treatment '!W180</f>
        <v>2.2930206571399943</v>
      </c>
      <c r="G127" s="952">
        <f>'4C2 Open-burning '!R153</f>
        <v>9.9848806539350701</v>
      </c>
      <c r="H127" s="952">
        <f>'4C2 Open-burning '!Z153</f>
        <v>3.3596066492077385</v>
      </c>
      <c r="I127" s="952">
        <f>'4C2 Open-burning '!AH153</f>
        <v>4.6771394942384859E-2</v>
      </c>
      <c r="J127" s="987">
        <f>'4D Wastewater treatment and dis'!AV190</f>
        <v>239.13292241860617</v>
      </c>
      <c r="K127" s="770">
        <f>'4D Wastewater treatment and dis'!AW190</f>
        <v>3.76914977647577</v>
      </c>
      <c r="L127" s="771">
        <f t="shared" si="111"/>
        <v>5969.5716942758108</v>
      </c>
      <c r="M127" s="772">
        <f t="shared" si="112"/>
        <v>17.834605111088848</v>
      </c>
      <c r="N127" s="771">
        <f t="shared" si="113"/>
        <v>1513.3936337123964</v>
      </c>
      <c r="O127" s="773">
        <f t="shared" si="114"/>
        <v>95.035752719436886</v>
      </c>
      <c r="P127" s="771">
        <f t="shared" si="115"/>
        <v>6190.2278014982176</v>
      </c>
      <c r="Q127" s="519">
        <f t="shared" si="116"/>
        <v>5969.5716942758108</v>
      </c>
      <c r="R127" s="521">
        <f t="shared" si="117"/>
        <v>1531.2282388234853</v>
      </c>
      <c r="S127" s="518">
        <f t="shared" si="118"/>
        <v>95.035752719436886</v>
      </c>
      <c r="T127" s="519">
        <f t="shared" si="119"/>
        <v>6190.2278014982176</v>
      </c>
      <c r="U127" s="519">
        <f t="shared" si="120"/>
        <v>13786.063487316951</v>
      </c>
    </row>
    <row r="128" spans="1:21">
      <c r="A128" s="4">
        <f>'Input data'!A149</f>
        <v>2049</v>
      </c>
      <c r="B128" s="4"/>
      <c r="C128" s="769">
        <f>'4A SWD Case 2'!BG119</f>
        <v>276.91535956603855</v>
      </c>
      <c r="D128" s="3">
        <f>'4B Biological treatment '!T181</f>
        <v>0.85856866706390544</v>
      </c>
      <c r="E128" s="1159">
        <f>'4B Biological treatment '!U181</f>
        <v>38.635590017875742</v>
      </c>
      <c r="F128" s="1159">
        <f>'4B Biological treatment '!W181</f>
        <v>2.3181354010725443</v>
      </c>
      <c r="G128" s="952">
        <f>'4C2 Open-burning '!R154</f>
        <v>9.9694945657495211</v>
      </c>
      <c r="H128" s="952">
        <f>'4C2 Open-burning '!Z154</f>
        <v>3.3544297015841229</v>
      </c>
      <c r="I128" s="952">
        <f>'4C2 Open-burning '!AH154</f>
        <v>4.6699323093748281E-2</v>
      </c>
      <c r="J128" s="987">
        <f>'4D Wastewater treatment and dis'!AV191</f>
        <v>240.35173160942776</v>
      </c>
      <c r="K128" s="770">
        <f>'4D Wastewater treatment and dis'!AW191</f>
        <v>3.7883603240770336</v>
      </c>
      <c r="L128" s="771">
        <f t="shared" si="111"/>
        <v>5815.2225508868096</v>
      </c>
      <c r="M128" s="772">
        <f t="shared" si="112"/>
        <v>18.029942008342015</v>
      </c>
      <c r="N128" s="771">
        <f t="shared" si="113"/>
        <v>1529.9693647078793</v>
      </c>
      <c r="O128" s="773">
        <f t="shared" si="114"/>
        <v>94.889308458078077</v>
      </c>
      <c r="P128" s="771">
        <f t="shared" si="115"/>
        <v>6221.7780642618636</v>
      </c>
      <c r="Q128" s="519">
        <f t="shared" si="116"/>
        <v>5815.2225508868096</v>
      </c>
      <c r="R128" s="521">
        <f t="shared" si="117"/>
        <v>1547.9993067162213</v>
      </c>
      <c r="S128" s="518">
        <f t="shared" si="118"/>
        <v>94.889308458078077</v>
      </c>
      <c r="T128" s="519">
        <f t="shared" si="119"/>
        <v>6221.7780642618636</v>
      </c>
      <c r="U128" s="519">
        <f t="shared" si="120"/>
        <v>13679.889230322973</v>
      </c>
    </row>
    <row r="129" spans="1:21">
      <c r="A129" s="4">
        <f>'Input data'!A150</f>
        <v>2050</v>
      </c>
      <c r="B129" s="4"/>
      <c r="C129" s="769">
        <f>'4A SWD Case 2'!BG120</f>
        <v>270.14209822358305</v>
      </c>
      <c r="D129" s="3">
        <f>'4B Biological treatment '!T182</f>
        <v>0.86834231215533209</v>
      </c>
      <c r="E129" s="1159">
        <f>'4B Biological treatment '!U182</f>
        <v>39.075404046989938</v>
      </c>
      <c r="F129" s="1159">
        <f>'4B Biological treatment '!W182</f>
        <v>2.344524242819396</v>
      </c>
      <c r="G129" s="952">
        <f>'4C2 Open-burning '!R155</f>
        <v>9.9541915956313378</v>
      </c>
      <c r="H129" s="952">
        <f>'4C2 Open-burning '!Z155</f>
        <v>3.3492807206454862</v>
      </c>
      <c r="I129" s="952">
        <f>'4C2 Open-burning '!AH155</f>
        <v>4.6627640588569122E-2</v>
      </c>
      <c r="J129" s="987">
        <f>'4D Wastewater treatment and dis'!AV192</f>
        <v>241.58013772301177</v>
      </c>
      <c r="K129" s="770">
        <f>'4D Wastewater treatment and dis'!AW192</f>
        <v>3.8077221358326381</v>
      </c>
      <c r="L129" s="771">
        <f t="shared" si="111"/>
        <v>5672.9840626952437</v>
      </c>
      <c r="M129" s="772">
        <f t="shared" si="112"/>
        <v>18.235188555261974</v>
      </c>
      <c r="N129" s="771">
        <f t="shared" si="113"/>
        <v>1547.3860002608014</v>
      </c>
      <c r="O129" s="773">
        <f t="shared" si="114"/>
        <v>94.743655311642982</v>
      </c>
      <c r="P129" s="771">
        <f t="shared" si="115"/>
        <v>6253.5767542913654</v>
      </c>
      <c r="Q129" s="471">
        <f t="shared" si="116"/>
        <v>5672.9840626952437</v>
      </c>
      <c r="R129" s="517">
        <f t="shared" si="117"/>
        <v>1565.6211888160635</v>
      </c>
      <c r="S129" s="514">
        <f t="shared" si="118"/>
        <v>94.743655311642982</v>
      </c>
      <c r="T129" s="471">
        <f t="shared" si="119"/>
        <v>6253.5767542913654</v>
      </c>
      <c r="U129" s="471">
        <f t="shared" si="120"/>
        <v>13586.925661114316</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820.16905115932695</v>
      </c>
      <c r="D131" s="3">
        <f>'4B Biological treatment '!T184</f>
        <v>0.32094742419140376</v>
      </c>
      <c r="E131" s="1159">
        <f>'4B Biological treatment '!U184</f>
        <v>20.374672143992505</v>
      </c>
      <c r="F131" s="1159">
        <f>'4B Biological treatment '!W184</f>
        <v>1.2224803286395503</v>
      </c>
      <c r="G131" s="952">
        <f>'4C2 Open-burning '!R123</f>
        <v>32.917079168029382</v>
      </c>
      <c r="H131" s="952">
        <f>'4C2 Open-burning '!Z123</f>
        <v>11.075589371398827</v>
      </c>
      <c r="I131" s="952">
        <f>'4C2 Open-burning '!AH123</f>
        <v>0.15419089756580112</v>
      </c>
      <c r="J131" s="987">
        <f>'4D Wastewater treatment and dis'!AV160</f>
        <v>137.16052018288545</v>
      </c>
      <c r="K131" s="770">
        <f>'4D Wastewater treatment and dis'!AW160</f>
        <v>2.8960026562367029</v>
      </c>
      <c r="L131" s="771">
        <f t="shared" ref="L131:L163" si="121">C131*$B$3</f>
        <v>17223.550074345865</v>
      </c>
      <c r="M131" s="772">
        <f t="shared" ref="M131:M163" si="122">D131*$B$3</f>
        <v>6.7398959080194789</v>
      </c>
      <c r="N131" s="771">
        <f t="shared" ref="N131:N163" si="123">E131*$B$3+F131*$C$3</f>
        <v>806.83701690210319</v>
      </c>
      <c r="O131" s="773">
        <f t="shared" ref="O131:O163" si="124">G131+H131*$B$3+I131*$C$3</f>
        <v>313.3036342128031</v>
      </c>
      <c r="P131" s="771">
        <f t="shared" ref="P131:P163" si="125">J131*$B$3+K131*$C$3</f>
        <v>3778.1317472739725</v>
      </c>
      <c r="Q131" s="471">
        <f t="shared" ref="Q131:Q163" si="126">L131</f>
        <v>17223.550074345865</v>
      </c>
      <c r="R131" s="517">
        <f t="shared" ref="R131:R163" si="127">M131+N131</f>
        <v>813.57691281012262</v>
      </c>
      <c r="S131" s="514">
        <f t="shared" ref="S131:S163" si="128">O131</f>
        <v>313.3036342128031</v>
      </c>
      <c r="T131" s="471">
        <f t="shared" ref="T131:T163" si="129">P131</f>
        <v>3778.1317472739725</v>
      </c>
      <c r="U131" s="471">
        <f t="shared" ref="U131:U163" si="130">SUM(Q131:T131)</f>
        <v>22128.562368642764</v>
      </c>
    </row>
    <row r="132" spans="1:21">
      <c r="A132" s="4">
        <f>'Input data'!A119</f>
        <v>2019</v>
      </c>
      <c r="B132" s="4"/>
      <c r="C132" s="769">
        <f>'4A SWD Case 2'!BN89</f>
        <v>801.62163919349155</v>
      </c>
      <c r="D132" s="3">
        <f>'4B Biological treatment '!T185</f>
        <v>0.37478585972226036</v>
      </c>
      <c r="E132" s="1159">
        <f>'4B Biological treatment '!U185</f>
        <v>21.678410820099796</v>
      </c>
      <c r="F132" s="1159">
        <f>'4B Biological treatment '!W185</f>
        <v>1.3007046492059877</v>
      </c>
      <c r="G132" s="952">
        <f>'4C2 Open-burning '!R124</f>
        <v>32.340331503378508</v>
      </c>
      <c r="H132" s="952">
        <f>'4C2 Open-burning '!Z124</f>
        <v>10.881531439588446</v>
      </c>
      <c r="I132" s="952">
        <f>'4C2 Open-burning '!AH124</f>
        <v>0.15148928362163711</v>
      </c>
      <c r="J132" s="987">
        <f>'4D Wastewater treatment and dis'!AV161</f>
        <v>143.32311856444659</v>
      </c>
      <c r="K132" s="770">
        <f>'4D Wastewater treatment and dis'!AW161</f>
        <v>2.9428441226975277</v>
      </c>
      <c r="L132" s="771">
        <f t="shared" si="121"/>
        <v>16834.054423063324</v>
      </c>
      <c r="M132" s="772">
        <f t="shared" si="122"/>
        <v>7.8705030541674672</v>
      </c>
      <c r="N132" s="771">
        <f t="shared" si="123"/>
        <v>858.46506847595197</v>
      </c>
      <c r="O132" s="773">
        <f t="shared" si="124"/>
        <v>307.81416965744336</v>
      </c>
      <c r="P132" s="771">
        <f t="shared" si="125"/>
        <v>3922.0671678896119</v>
      </c>
      <c r="Q132" s="519">
        <f t="shared" si="126"/>
        <v>16834.054423063324</v>
      </c>
      <c r="R132" s="521">
        <f t="shared" si="127"/>
        <v>866.33557153011941</v>
      </c>
      <c r="S132" s="518">
        <f t="shared" si="128"/>
        <v>307.81416965744336</v>
      </c>
      <c r="T132" s="519">
        <f t="shared" si="129"/>
        <v>3922.0671678896119</v>
      </c>
      <c r="U132" s="519">
        <f t="shared" si="130"/>
        <v>21930.271332140495</v>
      </c>
    </row>
    <row r="133" spans="1:21">
      <c r="A133" s="4">
        <f>'Input data'!A120</f>
        <v>2020</v>
      </c>
      <c r="B133" s="4"/>
      <c r="C133" s="769">
        <f>'4A SWD Case 2'!BN90</f>
        <v>782.61505431882586</v>
      </c>
      <c r="D133" s="3">
        <f>'4B Biological treatment '!T186</f>
        <v>0.44772213866917421</v>
      </c>
      <c r="E133" s="1159">
        <f>'4B Biological treatment '!U186</f>
        <v>23.841552449929665</v>
      </c>
      <c r="F133" s="1159">
        <f>'4B Biological treatment '!W186</f>
        <v>1.4304931469957798</v>
      </c>
      <c r="G133" s="952">
        <f>'4C2 Open-burning '!R125</f>
        <v>31.469352619539116</v>
      </c>
      <c r="H133" s="952">
        <f>'4C2 Open-burning '!Z125</f>
        <v>10.588473710519533</v>
      </c>
      <c r="I133" s="952">
        <f>'4C2 Open-burning '!AH125</f>
        <v>0.14740942540655916</v>
      </c>
      <c r="J133" s="987">
        <f>'4D Wastewater treatment and dis'!AV162</f>
        <v>149.6491219215433</v>
      </c>
      <c r="K133" s="770">
        <f>'4D Wastewater treatment and dis'!AW162</f>
        <v>2.9904419099300554</v>
      </c>
      <c r="L133" s="771">
        <f t="shared" si="121"/>
        <v>16434.916140695343</v>
      </c>
      <c r="M133" s="772">
        <f t="shared" si="122"/>
        <v>9.4021649120526583</v>
      </c>
      <c r="N133" s="771">
        <f t="shared" si="123"/>
        <v>944.12547701721473</v>
      </c>
      <c r="O133" s="773">
        <f t="shared" si="124"/>
        <v>299.52422241648264</v>
      </c>
      <c r="P133" s="771">
        <f t="shared" si="125"/>
        <v>4069.6685524307268</v>
      </c>
      <c r="Q133" s="519">
        <f t="shared" si="126"/>
        <v>16434.916140695343</v>
      </c>
      <c r="R133" s="521">
        <f t="shared" si="127"/>
        <v>953.52764192926736</v>
      </c>
      <c r="S133" s="518">
        <f t="shared" si="128"/>
        <v>299.52422241648264</v>
      </c>
      <c r="T133" s="519">
        <f t="shared" si="129"/>
        <v>4069.6685524307268</v>
      </c>
      <c r="U133" s="519">
        <f t="shared" si="130"/>
        <v>21757.636557471822</v>
      </c>
    </row>
    <row r="134" spans="1:21">
      <c r="A134" s="4">
        <f>'Input data'!A121</f>
        <v>2021</v>
      </c>
      <c r="B134" s="4"/>
      <c r="C134" s="769">
        <f>'4A SWD Case 2'!BN91</f>
        <v>762.06494670908876</v>
      </c>
      <c r="D134" s="3">
        <f>'4B Biological treatment '!T187</f>
        <v>0.5989328706811301</v>
      </c>
      <c r="E134" s="1159">
        <f>'4B Biological treatment '!U187</f>
        <v>29.284365406977379</v>
      </c>
      <c r="F134" s="1159">
        <f>'4B Biological treatment '!W187</f>
        <v>1.7570619244186425</v>
      </c>
      <c r="G134" s="952">
        <f>'4C2 Open-burning '!R126</f>
        <v>28.930991306569897</v>
      </c>
      <c r="H134" s="952">
        <f>'4C2 Open-burning '!Z126</f>
        <v>9.7343928415827357</v>
      </c>
      <c r="I134" s="952">
        <f>'4C2 Open-burning '!AH126</f>
        <v>0.13551917818276635</v>
      </c>
      <c r="J134" s="987">
        <f>'4D Wastewater treatment and dis'!AV163</f>
        <v>155.4265138839244</v>
      </c>
      <c r="K134" s="770">
        <f>'4D Wastewater treatment and dis'!AW163</f>
        <v>3.024879715734945</v>
      </c>
      <c r="L134" s="771">
        <f t="shared" si="121"/>
        <v>16003.363880890864</v>
      </c>
      <c r="M134" s="772">
        <f t="shared" si="122"/>
        <v>12.577590284303731</v>
      </c>
      <c r="N134" s="771">
        <f t="shared" si="123"/>
        <v>1159.6608701163041</v>
      </c>
      <c r="O134" s="773">
        <f t="shared" si="124"/>
        <v>275.36418621646493</v>
      </c>
      <c r="P134" s="771">
        <f t="shared" si="125"/>
        <v>4201.6695034402455</v>
      </c>
      <c r="Q134" s="519">
        <f t="shared" si="126"/>
        <v>16003.363880890864</v>
      </c>
      <c r="R134" s="521">
        <f t="shared" si="127"/>
        <v>1172.2384604006079</v>
      </c>
      <c r="S134" s="518">
        <f t="shared" si="128"/>
        <v>275.36418621646493</v>
      </c>
      <c r="T134" s="519">
        <f t="shared" si="129"/>
        <v>4201.6695034402455</v>
      </c>
      <c r="U134" s="519">
        <f t="shared" si="130"/>
        <v>21652.636030948182</v>
      </c>
    </row>
    <row r="135" spans="1:21">
      <c r="A135" s="4">
        <f>'Input data'!A122</f>
        <v>2022</v>
      </c>
      <c r="B135" s="4"/>
      <c r="C135" s="769">
        <f>'4A SWD Case 2'!BN92</f>
        <v>736.62065210895582</v>
      </c>
      <c r="D135" s="3">
        <f>'4B Biological treatment '!T188</f>
        <v>0.70887673028373277</v>
      </c>
      <c r="E135" s="1159">
        <f>'4B Biological treatment '!U188</f>
        <v>31.899452862767973</v>
      </c>
      <c r="F135" s="1159">
        <f>'4B Biological treatment '!W188</f>
        <v>1.913967171766078</v>
      </c>
      <c r="G135" s="952">
        <f>'4C2 Open-burning '!R127</f>
        <v>24.078073091016368</v>
      </c>
      <c r="H135" s="952">
        <f>'4C2 Open-burning '!Z127</f>
        <v>8.1015344359482544</v>
      </c>
      <c r="I135" s="952">
        <f>'4C2 Open-burning '!AH127</f>
        <v>0.11278703321783931</v>
      </c>
      <c r="J135" s="987">
        <f>'4D Wastewater treatment and dis'!AV164</f>
        <v>161.31482365077883</v>
      </c>
      <c r="K135" s="770">
        <f>'4D Wastewater treatment and dis'!AW164</f>
        <v>3.0596704712332969</v>
      </c>
      <c r="L135" s="771">
        <f t="shared" si="121"/>
        <v>15469.033694288073</v>
      </c>
      <c r="M135" s="772">
        <f t="shared" si="122"/>
        <v>14.886411335958389</v>
      </c>
      <c r="N135" s="771">
        <f t="shared" si="123"/>
        <v>1263.2183333656117</v>
      </c>
      <c r="O135" s="773">
        <f t="shared" si="124"/>
        <v>229.17427654345988</v>
      </c>
      <c r="P135" s="771">
        <f t="shared" si="125"/>
        <v>4336.1091427486772</v>
      </c>
      <c r="Q135" s="519">
        <f t="shared" si="126"/>
        <v>15469.033694288073</v>
      </c>
      <c r="R135" s="521">
        <f t="shared" si="127"/>
        <v>1278.1047447015701</v>
      </c>
      <c r="S135" s="518">
        <f t="shared" si="128"/>
        <v>229.17427654345988</v>
      </c>
      <c r="T135" s="519">
        <f t="shared" si="129"/>
        <v>4336.1091427486772</v>
      </c>
      <c r="U135" s="519">
        <f t="shared" si="130"/>
        <v>21312.421858281785</v>
      </c>
    </row>
    <row r="136" spans="1:21">
      <c r="A136" s="4">
        <f>'Input data'!A123</f>
        <v>2023</v>
      </c>
      <c r="B136" s="4"/>
      <c r="C136" s="769">
        <f>'4A SWD Case 2'!BN93</f>
        <v>708.94865597485557</v>
      </c>
      <c r="D136" s="3">
        <f>'4B Biological treatment '!T189</f>
        <v>0.71163201786319019</v>
      </c>
      <c r="E136" s="1159">
        <f>'4B Biological treatment '!U189</f>
        <v>32.023440803843556</v>
      </c>
      <c r="F136" s="1159">
        <f>'4B Biological treatment '!W189</f>
        <v>1.921406448230613</v>
      </c>
      <c r="G136" s="952">
        <f>'4C2 Open-burning '!R128</f>
        <v>22.834747369570866</v>
      </c>
      <c r="H136" s="952">
        <f>'4C2 Open-burning '!Z128</f>
        <v>7.6831933955620482</v>
      </c>
      <c r="I136" s="952">
        <f>'4C2 Open-burning '!AH128</f>
        <v>0.10696301985451132</v>
      </c>
      <c r="J136" s="987">
        <f>'4D Wastewater treatment and dis'!AV165</f>
        <v>167.32092220488411</v>
      </c>
      <c r="K136" s="770">
        <f>'4D Wastewater treatment and dis'!AW165</f>
        <v>3.0949150191946715</v>
      </c>
      <c r="L136" s="771">
        <f t="shared" si="121"/>
        <v>14887.921775471967</v>
      </c>
      <c r="M136" s="772">
        <f t="shared" si="122"/>
        <v>14.944272375126994</v>
      </c>
      <c r="N136" s="771">
        <f t="shared" si="123"/>
        <v>1268.1282558322046</v>
      </c>
      <c r="O136" s="773">
        <f t="shared" si="124"/>
        <v>217.34034483127238</v>
      </c>
      <c r="P136" s="771">
        <f t="shared" si="125"/>
        <v>4473.1630222529147</v>
      </c>
      <c r="Q136" s="519">
        <f t="shared" si="126"/>
        <v>14887.921775471967</v>
      </c>
      <c r="R136" s="521">
        <f t="shared" si="127"/>
        <v>1283.0725282073315</v>
      </c>
      <c r="S136" s="518">
        <f t="shared" si="128"/>
        <v>217.34034483127238</v>
      </c>
      <c r="T136" s="519">
        <f t="shared" si="129"/>
        <v>4473.1630222529147</v>
      </c>
      <c r="U136" s="519">
        <f t="shared" si="130"/>
        <v>20861.497670763485</v>
      </c>
    </row>
    <row r="137" spans="1:21">
      <c r="A137" s="4">
        <f>'Input data'!A124</f>
        <v>2024</v>
      </c>
      <c r="B137" s="4"/>
      <c r="C137" s="769">
        <f>'4A SWD Case 2'!BN94</f>
        <v>682.40459044482566</v>
      </c>
      <c r="D137" s="3">
        <f>'4B Biological treatment '!T190</f>
        <v>0.71428953857537469</v>
      </c>
      <c r="E137" s="1159">
        <f>'4B Biological treatment '!U190</f>
        <v>32.143029235891859</v>
      </c>
      <c r="F137" s="1159">
        <f>'4B Biological treatment '!W190</f>
        <v>1.9285817541535111</v>
      </c>
      <c r="G137" s="952">
        <f>'4C2 Open-burning '!R129</f>
        <v>21.570136743906811</v>
      </c>
      <c r="H137" s="952">
        <f>'4C2 Open-burning '!Z129</f>
        <v>7.2576906365515708</v>
      </c>
      <c r="I137" s="952">
        <f>'4C2 Open-burning '!AH129</f>
        <v>0.1010393032802967</v>
      </c>
      <c r="J137" s="987">
        <f>'4D Wastewater treatment and dis'!AV166</f>
        <v>173.44384059068466</v>
      </c>
      <c r="K137" s="770">
        <f>'4D Wastewater treatment and dis'!AW166</f>
        <v>3.1305629382342866</v>
      </c>
      <c r="L137" s="771">
        <f t="shared" si="121"/>
        <v>14330.496399341338</v>
      </c>
      <c r="M137" s="772">
        <f t="shared" si="122"/>
        <v>15.000080310082868</v>
      </c>
      <c r="N137" s="771">
        <f t="shared" si="123"/>
        <v>1272.8639577413176</v>
      </c>
      <c r="O137" s="773">
        <f t="shared" si="124"/>
        <v>205.30382412838176</v>
      </c>
      <c r="P137" s="771">
        <f t="shared" si="125"/>
        <v>4612.7951632570066</v>
      </c>
      <c r="Q137" s="519">
        <f t="shared" si="126"/>
        <v>14330.496399341338</v>
      </c>
      <c r="R137" s="521">
        <f t="shared" si="127"/>
        <v>1287.8640380514005</v>
      </c>
      <c r="S137" s="518">
        <f t="shared" si="128"/>
        <v>205.30382412838176</v>
      </c>
      <c r="T137" s="519">
        <f t="shared" si="129"/>
        <v>4612.7951632570066</v>
      </c>
      <c r="U137" s="519">
        <f t="shared" si="130"/>
        <v>20436.459424778128</v>
      </c>
    </row>
    <row r="138" spans="1:21">
      <c r="A138" s="4">
        <f>'Input data'!A125</f>
        <v>2025</v>
      </c>
      <c r="B138" s="4"/>
      <c r="C138" s="769">
        <f>'4A SWD Case 2'!BN95</f>
        <v>656.90736788691663</v>
      </c>
      <c r="D138" s="3">
        <f>'4B Biological treatment '!T191</f>
        <v>0.71706046885359576</v>
      </c>
      <c r="E138" s="1159">
        <f>'4B Biological treatment '!U191</f>
        <v>32.267721098411805</v>
      </c>
      <c r="F138" s="1159">
        <f>'4B Biological treatment '!W191</f>
        <v>1.9360632659047079</v>
      </c>
      <c r="G138" s="952">
        <f>'4C2 Open-burning '!R130</f>
        <v>20.283474926977643</v>
      </c>
      <c r="H138" s="952">
        <f>'4C2 Open-burning '!Z130</f>
        <v>6.8247683267858177</v>
      </c>
      <c r="I138" s="952">
        <f>'4C2 Open-burning '!AH130</f>
        <v>9.501229403675969E-2</v>
      </c>
      <c r="J138" s="987">
        <f>'4D Wastewater treatment and dis'!AV167</f>
        <v>179.68520063996107</v>
      </c>
      <c r="K138" s="770">
        <f>'4D Wastewater treatment and dis'!AW167</f>
        <v>3.166614228352143</v>
      </c>
      <c r="L138" s="771">
        <f t="shared" si="121"/>
        <v>13795.054725625248</v>
      </c>
      <c r="M138" s="772">
        <f t="shared" si="122"/>
        <v>15.05826984592551</v>
      </c>
      <c r="N138" s="771">
        <f t="shared" si="123"/>
        <v>1277.8017554971075</v>
      </c>
      <c r="O138" s="773">
        <f t="shared" si="124"/>
        <v>193.05742094087532</v>
      </c>
      <c r="P138" s="771">
        <f t="shared" si="125"/>
        <v>4755.0396242283468</v>
      </c>
      <c r="Q138" s="519">
        <f t="shared" si="126"/>
        <v>13795.054725625248</v>
      </c>
      <c r="R138" s="521">
        <f t="shared" si="127"/>
        <v>1292.8600253430329</v>
      </c>
      <c r="S138" s="518">
        <f t="shared" si="128"/>
        <v>193.05742094087532</v>
      </c>
      <c r="T138" s="519">
        <f t="shared" si="129"/>
        <v>4755.0396242283468</v>
      </c>
      <c r="U138" s="519">
        <f t="shared" si="130"/>
        <v>20036.011796137504</v>
      </c>
    </row>
    <row r="139" spans="1:21">
      <c r="A139" s="4">
        <f>'Input data'!A126</f>
        <v>2026</v>
      </c>
      <c r="B139" s="4"/>
      <c r="C139" s="769">
        <f>'4A SWD Case 2'!BN96</f>
        <v>632.37937810970811</v>
      </c>
      <c r="D139" s="3">
        <f>'4B Biological treatment '!T192</f>
        <v>0.72035151886570903</v>
      </c>
      <c r="E139" s="1159">
        <f>'4B Biological treatment '!U192</f>
        <v>32.415818348956904</v>
      </c>
      <c r="F139" s="1159">
        <f>'4B Biological treatment '!W192</f>
        <v>1.9449491009374138</v>
      </c>
      <c r="G139" s="952">
        <f>'4C2 Open-burning '!R131</f>
        <v>18.985218856693226</v>
      </c>
      <c r="H139" s="952">
        <f>'4C2 Open-burning '!Z131</f>
        <v>6.3879449057284114</v>
      </c>
      <c r="I139" s="952">
        <f>'4C2 Open-burning '!AH131</f>
        <v>8.8930974739699228E-2</v>
      </c>
      <c r="J139" s="987">
        <f>'4D Wastewater treatment and dis'!AV168</f>
        <v>185.73911394397246</v>
      </c>
      <c r="K139" s="770">
        <f>'4D Wastewater treatment and dis'!AW168</f>
        <v>3.1977746441463193</v>
      </c>
      <c r="L139" s="771">
        <f t="shared" si="121"/>
        <v>13279.96694030387</v>
      </c>
      <c r="M139" s="772">
        <f t="shared" si="122"/>
        <v>15.127381896179889</v>
      </c>
      <c r="N139" s="771">
        <f t="shared" si="123"/>
        <v>1283.6664066186931</v>
      </c>
      <c r="O139" s="773">
        <f t="shared" si="124"/>
        <v>180.70066404629662</v>
      </c>
      <c r="P139" s="771">
        <f t="shared" si="125"/>
        <v>4891.8315325087806</v>
      </c>
      <c r="Q139" s="519">
        <f t="shared" si="126"/>
        <v>13279.96694030387</v>
      </c>
      <c r="R139" s="521">
        <f t="shared" si="127"/>
        <v>1298.7937885148731</v>
      </c>
      <c r="S139" s="518">
        <f t="shared" si="128"/>
        <v>180.70066404629662</v>
      </c>
      <c r="T139" s="519">
        <f t="shared" si="129"/>
        <v>4891.8315325087806</v>
      </c>
      <c r="U139" s="519">
        <f t="shared" si="130"/>
        <v>19651.292925373818</v>
      </c>
    </row>
    <row r="140" spans="1:21">
      <c r="A140" s="4">
        <f>'Input data'!A127</f>
        <v>2027</v>
      </c>
      <c r="B140" s="4"/>
      <c r="C140" s="769">
        <f>'4A SWD Case 2'!BN97</f>
        <v>608.74250150326384</v>
      </c>
      <c r="D140" s="3">
        <f>'4B Biological treatment '!T193</f>
        <v>0.72361041444147467</v>
      </c>
      <c r="E140" s="1159">
        <f>'4B Biological treatment '!U193</f>
        <v>32.562468649866361</v>
      </c>
      <c r="F140" s="1159">
        <f>'4B Biological treatment '!W193</f>
        <v>1.9537481189919812</v>
      </c>
      <c r="G140" s="952">
        <f>'4C2 Open-burning '!R132</f>
        <v>17.661553312930316</v>
      </c>
      <c r="H140" s="952">
        <f>'4C2 Open-burning '!Z132</f>
        <v>5.942571974765988</v>
      </c>
      <c r="I140" s="952">
        <f>'4C2 Open-burning '!AH132</f>
        <v>8.2730631834793011E-2</v>
      </c>
      <c r="J140" s="987">
        <f>'4D Wastewater treatment and dis'!AV169</f>
        <v>191.89752530165873</v>
      </c>
      <c r="K140" s="770">
        <f>'4D Wastewater treatment and dis'!AW169</f>
        <v>3.2292880096339567</v>
      </c>
      <c r="L140" s="771">
        <f t="shared" si="121"/>
        <v>12783.59253156854</v>
      </c>
      <c r="M140" s="772">
        <f t="shared" si="122"/>
        <v>15.195818703270968</v>
      </c>
      <c r="N140" s="771">
        <f t="shared" si="123"/>
        <v>1289.4737585347077</v>
      </c>
      <c r="O140" s="773">
        <f t="shared" si="124"/>
        <v>168.10206065180188</v>
      </c>
      <c r="P140" s="771">
        <f t="shared" si="125"/>
        <v>5030.9273143213595</v>
      </c>
      <c r="Q140" s="519">
        <f t="shared" si="126"/>
        <v>12783.59253156854</v>
      </c>
      <c r="R140" s="521">
        <f t="shared" si="127"/>
        <v>1304.6695772379787</v>
      </c>
      <c r="S140" s="518">
        <f t="shared" si="128"/>
        <v>168.10206065180188</v>
      </c>
      <c r="T140" s="519">
        <f t="shared" si="129"/>
        <v>5030.9273143213595</v>
      </c>
      <c r="U140" s="519">
        <f t="shared" si="130"/>
        <v>19287.291483779678</v>
      </c>
    </row>
    <row r="141" spans="1:21">
      <c r="A141" s="4">
        <f>'Input data'!A128</f>
        <v>2028</v>
      </c>
      <c r="B141" s="4"/>
      <c r="C141" s="769">
        <f>'4A SWD Case 2'!BN98</f>
        <v>585.92608616520954</v>
      </c>
      <c r="D141" s="3">
        <f>'4B Biological treatment '!T194</f>
        <v>0.72702573700487716</v>
      </c>
      <c r="E141" s="1159">
        <f>'4B Biological treatment '!U194</f>
        <v>32.716158165219468</v>
      </c>
      <c r="F141" s="1159">
        <f>'4B Biological treatment '!W194</f>
        <v>1.962969489913168</v>
      </c>
      <c r="G141" s="952">
        <f>'4C2 Open-burning '!R133</f>
        <v>16.311774076310044</v>
      </c>
      <c r="H141" s="952">
        <f>'4C2 Open-burning '!Z133</f>
        <v>5.4884125856374997</v>
      </c>
      <c r="I141" s="952">
        <f>'4C2 Open-burning '!AH133</f>
        <v>7.6407966602323005E-2</v>
      </c>
      <c r="J141" s="987">
        <f>'4D Wastewater treatment and dis'!AV170</f>
        <v>198.15572617261648</v>
      </c>
      <c r="K141" s="770">
        <f>'4D Wastewater treatment and dis'!AW170</f>
        <v>3.2610534820454951</v>
      </c>
      <c r="L141" s="771">
        <f t="shared" si="121"/>
        <v>12304.4478094694</v>
      </c>
      <c r="M141" s="772">
        <f t="shared" si="122"/>
        <v>15.26754047710242</v>
      </c>
      <c r="N141" s="771">
        <f t="shared" si="123"/>
        <v>1295.5598633426907</v>
      </c>
      <c r="O141" s="773">
        <f t="shared" si="124"/>
        <v>155.25490802141766</v>
      </c>
      <c r="P141" s="771">
        <f t="shared" si="125"/>
        <v>5172.1968290590494</v>
      </c>
      <c r="Q141" s="519">
        <f t="shared" si="126"/>
        <v>12304.4478094694</v>
      </c>
      <c r="R141" s="521">
        <f t="shared" si="127"/>
        <v>1310.8274038197931</v>
      </c>
      <c r="S141" s="518">
        <f t="shared" si="128"/>
        <v>155.25490802141766</v>
      </c>
      <c r="T141" s="519">
        <f t="shared" si="129"/>
        <v>5172.1968290590494</v>
      </c>
      <c r="U141" s="519">
        <f t="shared" si="130"/>
        <v>18942.726950369659</v>
      </c>
    </row>
    <row r="142" spans="1:21">
      <c r="A142" s="4">
        <f>'Input data'!A129</f>
        <v>2029</v>
      </c>
      <c r="B142" s="4"/>
      <c r="C142" s="769">
        <f>'4A SWD Case 2'!BN99</f>
        <v>563.86235109711458</v>
      </c>
      <c r="D142" s="3">
        <f>'4B Biological treatment '!T195</f>
        <v>0.7305540346149062</v>
      </c>
      <c r="E142" s="1159">
        <f>'4B Biological treatment '!U195</f>
        <v>32.874931557670777</v>
      </c>
      <c r="F142" s="1159">
        <f>'4B Biological treatment '!W195</f>
        <v>1.9724958934602463</v>
      </c>
      <c r="G142" s="952">
        <f>'4C2 Open-burning '!R134</f>
        <v>14.934737796150557</v>
      </c>
      <c r="H142" s="952">
        <f>'4C2 Open-burning '!Z134</f>
        <v>5.0250820358426109</v>
      </c>
      <c r="I142" s="952">
        <f>'4C2 Open-burning '!AH134</f>
        <v>6.9957623334178959E-2</v>
      </c>
      <c r="J142" s="987">
        <f>'4D Wastewater treatment and dis'!AV171</f>
        <v>204.52099299756838</v>
      </c>
      <c r="K142" s="770">
        <f>'4D Wastewater treatment and dis'!AW171</f>
        <v>3.2931719041504954</v>
      </c>
      <c r="L142" s="771">
        <f t="shared" si="121"/>
        <v>11841.109373039406</v>
      </c>
      <c r="M142" s="772">
        <f t="shared" si="122"/>
        <v>15.34163472691303</v>
      </c>
      <c r="N142" s="771">
        <f t="shared" si="123"/>
        <v>1301.8472896837627</v>
      </c>
      <c r="O142" s="773">
        <f t="shared" si="124"/>
        <v>142.14832378244085</v>
      </c>
      <c r="P142" s="771">
        <f t="shared" si="125"/>
        <v>5315.8241432355899</v>
      </c>
      <c r="Q142" s="519">
        <f t="shared" si="126"/>
        <v>11841.109373039406</v>
      </c>
      <c r="R142" s="521">
        <f t="shared" si="127"/>
        <v>1317.1889244106758</v>
      </c>
      <c r="S142" s="518">
        <f t="shared" si="128"/>
        <v>142.14832378244085</v>
      </c>
      <c r="T142" s="519">
        <f t="shared" si="129"/>
        <v>5315.8241432355899</v>
      </c>
      <c r="U142" s="519">
        <f t="shared" si="130"/>
        <v>18616.270764468114</v>
      </c>
    </row>
    <row r="143" spans="1:21">
      <c r="A143" s="4">
        <f>'Input data'!A130</f>
        <v>2030</v>
      </c>
      <c r="B143" s="4"/>
      <c r="C143" s="769">
        <f>'4A SWD Case 2'!BN100</f>
        <v>542.48636620932109</v>
      </c>
      <c r="D143" s="3">
        <f>'4B Biological treatment '!T196</f>
        <v>0.73420573573740433</v>
      </c>
      <c r="E143" s="1159">
        <f>'4B Biological treatment '!U196</f>
        <v>33.039258108183191</v>
      </c>
      <c r="F143" s="1159">
        <f>'4B Biological treatment '!W196</f>
        <v>1.9823554864909911</v>
      </c>
      <c r="G143" s="952">
        <f>'4C2 Open-burning '!R135</f>
        <v>13.529544259453219</v>
      </c>
      <c r="H143" s="952">
        <f>'4C2 Open-burning '!Z135</f>
        <v>4.5522774312676324</v>
      </c>
      <c r="I143" s="952">
        <f>'4C2 Open-burning '!AH135</f>
        <v>6.3375385233069945E-2</v>
      </c>
      <c r="J143" s="987">
        <f>'4D Wastewater treatment and dis'!AV172</f>
        <v>210.99154590506851</v>
      </c>
      <c r="K143" s="770">
        <f>'4D Wastewater treatment and dis'!AW172</f>
        <v>3.3255928545641762</v>
      </c>
      <c r="L143" s="771">
        <f t="shared" si="121"/>
        <v>11392.213690395743</v>
      </c>
      <c r="M143" s="772">
        <f t="shared" si="122"/>
        <v>15.41832045048549</v>
      </c>
      <c r="N143" s="771">
        <f t="shared" si="123"/>
        <v>1308.3546210840541</v>
      </c>
      <c r="O143" s="773">
        <f t="shared" si="124"/>
        <v>128.77373973832519</v>
      </c>
      <c r="P143" s="771">
        <f t="shared" si="125"/>
        <v>5461.7562489213324</v>
      </c>
      <c r="Q143" s="519">
        <f t="shared" si="126"/>
        <v>11392.213690395743</v>
      </c>
      <c r="R143" s="521">
        <f t="shared" si="127"/>
        <v>1323.7729415345395</v>
      </c>
      <c r="S143" s="518">
        <f t="shared" si="128"/>
        <v>128.77373973832519</v>
      </c>
      <c r="T143" s="519">
        <f t="shared" si="129"/>
        <v>5461.7562489213324</v>
      </c>
      <c r="U143" s="519">
        <f t="shared" si="130"/>
        <v>18306.51662058994</v>
      </c>
    </row>
    <row r="144" spans="1:21">
      <c r="A144" s="4">
        <f>'Input data'!A131</f>
        <v>2031</v>
      </c>
      <c r="B144" s="4"/>
      <c r="C144" s="769">
        <f>'4A SWD Case 2'!BN101</f>
        <v>521.73579205773842</v>
      </c>
      <c r="D144" s="3">
        <f>'4B Biological treatment '!T197</f>
        <v>0.73859047110474463</v>
      </c>
      <c r="E144" s="1159">
        <f>'4B Biological treatment '!U197</f>
        <v>33.236571199713502</v>
      </c>
      <c r="F144" s="1159">
        <f>'4B Biological treatment '!W197</f>
        <v>1.9941942719828099</v>
      </c>
      <c r="G144" s="952">
        <f>'4C2 Open-burning '!R136</f>
        <v>11.932133633461715</v>
      </c>
      <c r="H144" s="952">
        <f>'4C2 Open-burning '!Z136</f>
        <v>4.0147976609429739</v>
      </c>
      <c r="I144" s="952">
        <f>'4C2 Open-burning '!AH136</f>
        <v>5.5892759665185344E-2</v>
      </c>
      <c r="J144" s="987">
        <f>'4D Wastewater treatment and dis'!AV173</f>
        <v>212.79256841014094</v>
      </c>
      <c r="K144" s="770">
        <f>'4D Wastewater treatment and dis'!AW173</f>
        <v>3.3539800941954407</v>
      </c>
      <c r="L144" s="771">
        <f t="shared" si="121"/>
        <v>10956.451633212508</v>
      </c>
      <c r="M144" s="772">
        <f t="shared" si="122"/>
        <v>15.510399893199637</v>
      </c>
      <c r="N144" s="771">
        <f t="shared" si="123"/>
        <v>1316.1682195086546</v>
      </c>
      <c r="O144" s="773">
        <f t="shared" si="124"/>
        <v>113.56964000947163</v>
      </c>
      <c r="P144" s="771">
        <f t="shared" si="125"/>
        <v>5508.3777658135459</v>
      </c>
      <c r="Q144" s="519">
        <f t="shared" si="126"/>
        <v>10956.451633212508</v>
      </c>
      <c r="R144" s="521">
        <f t="shared" si="127"/>
        <v>1331.6786194018543</v>
      </c>
      <c r="S144" s="518">
        <f t="shared" si="128"/>
        <v>113.56964000947163</v>
      </c>
      <c r="T144" s="519">
        <f t="shared" si="129"/>
        <v>5508.3777658135459</v>
      </c>
      <c r="U144" s="519">
        <f t="shared" si="130"/>
        <v>17910.077658437382</v>
      </c>
    </row>
    <row r="145" spans="1:21">
      <c r="A145" s="4">
        <f>'Input data'!A132</f>
        <v>2032</v>
      </c>
      <c r="B145" s="4"/>
      <c r="C145" s="769">
        <f>'4A SWD Case 2'!BN102</f>
        <v>501.42563810008443</v>
      </c>
      <c r="D145" s="3">
        <f>'4B Biological treatment '!T198</f>
        <v>0.74276924427169644</v>
      </c>
      <c r="E145" s="1159">
        <f>'4B Biological treatment '!U198</f>
        <v>33.424615992226336</v>
      </c>
      <c r="F145" s="1159">
        <f>'4B Biological treatment '!W198</f>
        <v>2.00547695953358</v>
      </c>
      <c r="G145" s="952">
        <f>'4C2 Open-burning '!R137</f>
        <v>10.344640301197273</v>
      </c>
      <c r="H145" s="952">
        <f>'4C2 Open-burning '!Z137</f>
        <v>3.4806547563358281</v>
      </c>
      <c r="I145" s="952">
        <f>'4C2 Open-burning '!AH137</f>
        <v>4.8456588900091524E-2</v>
      </c>
      <c r="J145" s="987">
        <f>'4D Wastewater treatment and dis'!AV174</f>
        <v>214.6095857864839</v>
      </c>
      <c r="K145" s="770">
        <f>'4D Wastewater treatment and dis'!AW174</f>
        <v>3.3826194407506049</v>
      </c>
      <c r="L145" s="771">
        <f t="shared" si="121"/>
        <v>10529.938400101773</v>
      </c>
      <c r="M145" s="772">
        <f t="shared" si="122"/>
        <v>15.598154129705625</v>
      </c>
      <c r="N145" s="771">
        <f t="shared" si="123"/>
        <v>1323.6147932921629</v>
      </c>
      <c r="O145" s="773">
        <f t="shared" si="124"/>
        <v>98.459932743278046</v>
      </c>
      <c r="P145" s="771">
        <f t="shared" si="125"/>
        <v>5555.4133281488503</v>
      </c>
      <c r="Q145" s="519">
        <f t="shared" si="126"/>
        <v>10529.938400101773</v>
      </c>
      <c r="R145" s="521">
        <f t="shared" si="127"/>
        <v>1339.2129474218684</v>
      </c>
      <c r="S145" s="518">
        <f t="shared" si="128"/>
        <v>98.459932743278046</v>
      </c>
      <c r="T145" s="519">
        <f t="shared" si="129"/>
        <v>5555.4133281488503</v>
      </c>
      <c r="U145" s="519">
        <f t="shared" si="130"/>
        <v>17523.02460841577</v>
      </c>
    </row>
    <row r="146" spans="1:21">
      <c r="A146" s="4">
        <f>'Input data'!A133</f>
        <v>2033</v>
      </c>
      <c r="B146" s="4"/>
      <c r="C146" s="769">
        <f>'4A SWD Case 2'!BN103</f>
        <v>481.53212515800794</v>
      </c>
      <c r="D146" s="3">
        <f>'4B Biological treatment '!T199</f>
        <v>0.74741034609099699</v>
      </c>
      <c r="E146" s="1159">
        <f>'4B Biological treatment '!U199</f>
        <v>33.633465574094863</v>
      </c>
      <c r="F146" s="1159">
        <f>'4B Biological treatment '!W199</f>
        <v>2.0180079344456914</v>
      </c>
      <c r="G146" s="952">
        <f>'4C2 Open-burning '!R138</f>
        <v>10.314004646981584</v>
      </c>
      <c r="H146" s="952">
        <f>'4C2 Open-burning '!Z138</f>
        <v>3.4703467966142174</v>
      </c>
      <c r="I146" s="952">
        <f>'4C2 Open-burning '!AH138</f>
        <v>4.8313084702865522E-2</v>
      </c>
      <c r="J146" s="987">
        <f>'4D Wastewater treatment and dis'!AV175</f>
        <v>216.43939905984345</v>
      </c>
      <c r="K146" s="770">
        <f>'4D Wastewater treatment and dis'!AW175</f>
        <v>3.4114604728448907</v>
      </c>
      <c r="L146" s="771">
        <f t="shared" si="121"/>
        <v>10112.174628318167</v>
      </c>
      <c r="M146" s="772">
        <f t="shared" si="122"/>
        <v>15.695617267910936</v>
      </c>
      <c r="N146" s="771">
        <f t="shared" si="123"/>
        <v>1331.8852367341565</v>
      </c>
      <c r="O146" s="773">
        <f t="shared" si="124"/>
        <v>98.168343633768458</v>
      </c>
      <c r="P146" s="771">
        <f t="shared" si="125"/>
        <v>5602.7801268386283</v>
      </c>
      <c r="Q146" s="519">
        <f t="shared" si="126"/>
        <v>10112.174628318167</v>
      </c>
      <c r="R146" s="521">
        <f t="shared" si="127"/>
        <v>1347.5808540020673</v>
      </c>
      <c r="S146" s="518">
        <f t="shared" si="128"/>
        <v>98.168343633768458</v>
      </c>
      <c r="T146" s="519">
        <f t="shared" si="129"/>
        <v>5602.7801268386283</v>
      </c>
      <c r="U146" s="519">
        <f t="shared" si="130"/>
        <v>17160.703952792632</v>
      </c>
    </row>
    <row r="147" spans="1:21">
      <c r="A147" s="4">
        <f>'Input data'!A134</f>
        <v>2034</v>
      </c>
      <c r="B147" s="4"/>
      <c r="C147" s="769">
        <f>'4A SWD Case 2'!BN104</f>
        <v>462.62039422858533</v>
      </c>
      <c r="D147" s="3">
        <f>'4B Biological treatment '!T200</f>
        <v>0.75237299227377297</v>
      </c>
      <c r="E147" s="1159">
        <f>'4B Biological treatment '!U200</f>
        <v>33.856784652319782</v>
      </c>
      <c r="F147" s="1159">
        <f>'4B Biological treatment '!W200</f>
        <v>2.0314070791391865</v>
      </c>
      <c r="G147" s="952">
        <f>'4C2 Open-burning '!R139</f>
        <v>10.283748510657539</v>
      </c>
      <c r="H147" s="952">
        <f>'4C2 Open-burning '!Z139</f>
        <v>3.4601665330440619</v>
      </c>
      <c r="I147" s="952">
        <f>'4C2 Open-burning '!AH139</f>
        <v>4.8171358251594937E-2</v>
      </c>
      <c r="J147" s="987">
        <f>'4D Wastewater treatment and dis'!AV176</f>
        <v>218.28840617872763</v>
      </c>
      <c r="K147" s="770">
        <f>'4D Wastewater treatment and dis'!AW176</f>
        <v>3.4406040332478574</v>
      </c>
      <c r="L147" s="771">
        <f t="shared" si="121"/>
        <v>9715.0282788002914</v>
      </c>
      <c r="M147" s="772">
        <f t="shared" si="122"/>
        <v>15.799832837749232</v>
      </c>
      <c r="N147" s="771">
        <f t="shared" si="123"/>
        <v>1340.7286722318631</v>
      </c>
      <c r="O147" s="773">
        <f t="shared" si="124"/>
        <v>97.880366762577253</v>
      </c>
      <c r="P147" s="771">
        <f t="shared" si="125"/>
        <v>5650.6437800601161</v>
      </c>
      <c r="Q147" s="519">
        <f t="shared" si="126"/>
        <v>9715.0282788002914</v>
      </c>
      <c r="R147" s="521">
        <f t="shared" si="127"/>
        <v>1356.5285050696123</v>
      </c>
      <c r="S147" s="518">
        <f t="shared" si="128"/>
        <v>97.880366762577253</v>
      </c>
      <c r="T147" s="519">
        <f t="shared" si="129"/>
        <v>5650.6437800601161</v>
      </c>
      <c r="U147" s="519">
        <f t="shared" si="130"/>
        <v>16820.080930692598</v>
      </c>
    </row>
    <row r="148" spans="1:21">
      <c r="A148" s="4">
        <f>'Input data'!A135</f>
        <v>2035</v>
      </c>
      <c r="B148" s="4"/>
      <c r="C148" s="769">
        <f>'4A SWD Case 2'!BN105</f>
        <v>444.64260411623962</v>
      </c>
      <c r="D148" s="3">
        <f>'4B Biological treatment '!T201</f>
        <v>0.7576771707128892</v>
      </c>
      <c r="E148" s="1159">
        <f>'4B Biological treatment '!U201</f>
        <v>34.095472682080015</v>
      </c>
      <c r="F148" s="1159">
        <f>'4B Biological treatment '!W201</f>
        <v>2.0457283609248007</v>
      </c>
      <c r="G148" s="952">
        <f>'4C2 Open-burning '!R140</f>
        <v>10.253970849261581</v>
      </c>
      <c r="H148" s="952">
        <f>'4C2 Open-burning '!Z140</f>
        <v>3.4501472616385209</v>
      </c>
      <c r="I148" s="952">
        <f>'4C2 Open-burning '!AH140</f>
        <v>4.8031873082980327E-2</v>
      </c>
      <c r="J148" s="987">
        <f>'4D Wastewater treatment and dis'!AV177</f>
        <v>220.15020919462836</v>
      </c>
      <c r="K148" s="770">
        <f>'4D Wastewater treatment and dis'!AW177</f>
        <v>3.4699492791899456</v>
      </c>
      <c r="L148" s="771">
        <f t="shared" si="121"/>
        <v>9337.4946864410322</v>
      </c>
      <c r="M148" s="772">
        <f t="shared" si="122"/>
        <v>15.911220584970673</v>
      </c>
      <c r="N148" s="771">
        <f t="shared" si="123"/>
        <v>1350.1807182103685</v>
      </c>
      <c r="O148" s="773">
        <f t="shared" si="124"/>
        <v>97.596943999394412</v>
      </c>
      <c r="P148" s="771">
        <f t="shared" si="125"/>
        <v>5698.8386696360794</v>
      </c>
      <c r="Q148" s="519">
        <f t="shared" si="126"/>
        <v>9337.4946864410322</v>
      </c>
      <c r="R148" s="521">
        <f t="shared" si="127"/>
        <v>1366.091938795339</v>
      </c>
      <c r="S148" s="518">
        <f t="shared" si="128"/>
        <v>97.596943999394412</v>
      </c>
      <c r="T148" s="519">
        <f t="shared" si="129"/>
        <v>5698.8386696360794</v>
      </c>
      <c r="U148" s="519">
        <f t="shared" si="130"/>
        <v>16500.022238871847</v>
      </c>
    </row>
    <row r="149" spans="1:21">
      <c r="A149" s="4">
        <f>'Input data'!A136</f>
        <v>2036</v>
      </c>
      <c r="B149" s="4"/>
      <c r="C149" s="769">
        <f>'4A SWD Case 2'!BN106</f>
        <v>427.55319616797794</v>
      </c>
      <c r="D149" s="3">
        <f>'4B Biological treatment '!T202</f>
        <v>0.76313821065905252</v>
      </c>
      <c r="E149" s="1159">
        <f>'4B Biological treatment '!U202</f>
        <v>34.341219479657354</v>
      </c>
      <c r="F149" s="1159">
        <f>'4B Biological treatment '!W202</f>
        <v>2.0604731687794411</v>
      </c>
      <c r="G149" s="952">
        <f>'4C2 Open-burning '!R141</f>
        <v>10.228723794654844</v>
      </c>
      <c r="H149" s="952">
        <f>'4C2 Open-burning '!Z141</f>
        <v>3.4416524007113369</v>
      </c>
      <c r="I149" s="952">
        <f>'4C2 Open-burning '!AH141</f>
        <v>4.7913610281143201E-2</v>
      </c>
      <c r="J149" s="987">
        <f>'4D Wastewater treatment and dis'!AV178</f>
        <v>221.76249221870739</v>
      </c>
      <c r="K149" s="770">
        <f>'4D Wastewater treatment and dis'!AW178</f>
        <v>3.4953616571191763</v>
      </c>
      <c r="L149" s="771">
        <f t="shared" si="121"/>
        <v>8978.6171195275365</v>
      </c>
      <c r="M149" s="772">
        <f t="shared" si="122"/>
        <v>16.025902423840101</v>
      </c>
      <c r="N149" s="771">
        <f t="shared" si="123"/>
        <v>1359.9122913944311</v>
      </c>
      <c r="O149" s="773">
        <f t="shared" si="124"/>
        <v>97.356643396747316</v>
      </c>
      <c r="P149" s="771">
        <f t="shared" si="125"/>
        <v>5740.5744502998004</v>
      </c>
      <c r="Q149" s="519">
        <f t="shared" si="126"/>
        <v>8978.6171195275365</v>
      </c>
      <c r="R149" s="521">
        <f t="shared" si="127"/>
        <v>1375.9381938182712</v>
      </c>
      <c r="S149" s="518">
        <f t="shared" si="128"/>
        <v>97.356643396747316</v>
      </c>
      <c r="T149" s="519">
        <f t="shared" si="129"/>
        <v>5740.5744502998004</v>
      </c>
      <c r="U149" s="519">
        <f t="shared" si="130"/>
        <v>16192.486407042355</v>
      </c>
    </row>
    <row r="150" spans="1:21">
      <c r="A150" s="4">
        <f>'Input data'!A137</f>
        <v>2037</v>
      </c>
      <c r="B150" s="4"/>
      <c r="C150" s="769">
        <f>'4A SWD Case 2'!BN107</f>
        <v>411.30694103475776</v>
      </c>
      <c r="D150" s="3">
        <f>'4B Biological treatment '!T203</f>
        <v>0.76883171848962029</v>
      </c>
      <c r="E150" s="1159">
        <f>'4B Biological treatment '!U203</f>
        <v>34.597427332032908</v>
      </c>
      <c r="F150" s="1159">
        <f>'4B Biological treatment '!W203</f>
        <v>2.0758456399219742</v>
      </c>
      <c r="G150" s="952">
        <f>'4C2 Open-burning '!R142</f>
        <v>10.20381658806048</v>
      </c>
      <c r="H150" s="952">
        <f>'4C2 Open-burning '!Z142</f>
        <v>3.433271888235744</v>
      </c>
      <c r="I150" s="952">
        <f>'4C2 Open-burning '!AH142</f>
        <v>4.779693940275094E-2</v>
      </c>
      <c r="J150" s="987">
        <f>'4D Wastewater treatment and dis'!AV179</f>
        <v>223.38437216554874</v>
      </c>
      <c r="K150" s="770">
        <f>'4D Wastewater treatment and dis'!AW179</f>
        <v>3.5209252992027475</v>
      </c>
      <c r="L150" s="771">
        <f t="shared" si="121"/>
        <v>8637.4457617299122</v>
      </c>
      <c r="M150" s="772">
        <f t="shared" si="122"/>
        <v>16.145466088282028</v>
      </c>
      <c r="N150" s="771">
        <f t="shared" si="123"/>
        <v>1370.058122348503</v>
      </c>
      <c r="O150" s="773">
        <f t="shared" si="124"/>
        <v>97.11957745586389</v>
      </c>
      <c r="P150" s="771">
        <f t="shared" si="125"/>
        <v>5782.5586582293754</v>
      </c>
      <c r="Q150" s="519">
        <f t="shared" si="126"/>
        <v>8637.4457617299122</v>
      </c>
      <c r="R150" s="521">
        <f t="shared" si="127"/>
        <v>1386.2035884367851</v>
      </c>
      <c r="S150" s="518">
        <f t="shared" si="128"/>
        <v>97.11957745586389</v>
      </c>
      <c r="T150" s="519">
        <f t="shared" si="129"/>
        <v>5782.5586582293754</v>
      </c>
      <c r="U150" s="519">
        <f t="shared" si="130"/>
        <v>15903.327585851937</v>
      </c>
    </row>
    <row r="151" spans="1:21">
      <c r="A151" s="4">
        <f>'Input data'!A138</f>
        <v>2038</v>
      </c>
      <c r="B151" s="4"/>
      <c r="C151" s="769">
        <f>'4A SWD Case 2'!BN108</f>
        <v>395.86273137822707</v>
      </c>
      <c r="D151" s="3">
        <f>'4B Biological treatment '!T204</f>
        <v>0.77461213020220843</v>
      </c>
      <c r="E151" s="1159">
        <f>'4B Biological treatment '!U204</f>
        <v>34.857545859099375</v>
      </c>
      <c r="F151" s="1159">
        <f>'4B Biological treatment '!W204</f>
        <v>2.0914527515459622</v>
      </c>
      <c r="G151" s="952">
        <f>'4C2 Open-burning '!R143</f>
        <v>10.179148263724461</v>
      </c>
      <c r="H151" s="952">
        <f>'4C2 Open-burning '!Z143</f>
        <v>3.4249717523266137</v>
      </c>
      <c r="I151" s="952">
        <f>'4C2 Open-burning '!AH143</f>
        <v>4.76813875018244E-2</v>
      </c>
      <c r="J151" s="987">
        <f>'4D Wastewater treatment and dis'!AV180</f>
        <v>225.02224698366075</v>
      </c>
      <c r="K151" s="770">
        <f>'4D Wastewater treatment and dis'!AW180</f>
        <v>3.5467410482102202</v>
      </c>
      <c r="L151" s="771">
        <f t="shared" si="121"/>
        <v>8313.117358942769</v>
      </c>
      <c r="M151" s="772">
        <f t="shared" si="122"/>
        <v>16.266854734246376</v>
      </c>
      <c r="N151" s="771">
        <f t="shared" si="123"/>
        <v>1380.3588160203353</v>
      </c>
      <c r="O151" s="773">
        <f t="shared" si="124"/>
        <v>96.884785188148896</v>
      </c>
      <c r="P151" s="771">
        <f t="shared" si="125"/>
        <v>5824.9569116020448</v>
      </c>
      <c r="Q151" s="519">
        <f t="shared" si="126"/>
        <v>8313.117358942769</v>
      </c>
      <c r="R151" s="521">
        <f t="shared" si="127"/>
        <v>1396.6256707545817</v>
      </c>
      <c r="S151" s="518">
        <f t="shared" si="128"/>
        <v>96.884785188148896</v>
      </c>
      <c r="T151" s="519">
        <f t="shared" si="129"/>
        <v>5824.9569116020448</v>
      </c>
      <c r="U151" s="519">
        <f t="shared" si="130"/>
        <v>15631.584726487545</v>
      </c>
    </row>
    <row r="152" spans="1:21">
      <c r="A152" s="4">
        <f>'Input data'!A139</f>
        <v>2039</v>
      </c>
      <c r="B152" s="4"/>
      <c r="C152" s="769">
        <f>'4A SWD Case 2'!BN109</f>
        <v>381.18150721602018</v>
      </c>
      <c r="D152" s="3">
        <f>'4B Biological treatment '!T205</f>
        <v>0.78063022403212257</v>
      </c>
      <c r="E152" s="1159">
        <f>'4B Biological treatment '!U205</f>
        <v>35.128360081445507</v>
      </c>
      <c r="F152" s="1159">
        <f>'4B Biological treatment '!W205</f>
        <v>2.1077016048867305</v>
      </c>
      <c r="G152" s="952">
        <f>'4C2 Open-burning '!R144</f>
        <v>10.154812472932907</v>
      </c>
      <c r="H152" s="952">
        <f>'4C2 Open-burning '!Z144</f>
        <v>3.4167835037745578</v>
      </c>
      <c r="I152" s="952">
        <f>'4C2 Open-burning '!AH144</f>
        <v>4.7567393261753188E-2</v>
      </c>
      <c r="J152" s="987">
        <f>'4D Wastewater treatment and dis'!AV181</f>
        <v>226.66971872453522</v>
      </c>
      <c r="K152" s="770">
        <f>'4D Wastewater treatment and dis'!AW181</f>
        <v>3.5727080613720332</v>
      </c>
      <c r="L152" s="771">
        <f t="shared" si="121"/>
        <v>8004.8116515364236</v>
      </c>
      <c r="M152" s="772">
        <f t="shared" si="122"/>
        <v>16.393234704674573</v>
      </c>
      <c r="N152" s="771">
        <f t="shared" si="123"/>
        <v>1391.0830592252421</v>
      </c>
      <c r="O152" s="773">
        <f t="shared" si="124"/>
        <v>96.65315796334211</v>
      </c>
      <c r="P152" s="771">
        <f t="shared" si="125"/>
        <v>5867.6035922405699</v>
      </c>
      <c r="Q152" s="519">
        <f t="shared" si="126"/>
        <v>8004.8116515364236</v>
      </c>
      <c r="R152" s="521">
        <f t="shared" si="127"/>
        <v>1407.4762939299167</v>
      </c>
      <c r="S152" s="518">
        <f t="shared" si="128"/>
        <v>96.65315796334211</v>
      </c>
      <c r="T152" s="519">
        <f t="shared" si="129"/>
        <v>5867.6035922405699</v>
      </c>
      <c r="U152" s="519">
        <f t="shared" si="130"/>
        <v>15376.544695670253</v>
      </c>
    </row>
    <row r="153" spans="1:21">
      <c r="A153" s="4">
        <f>'Input data'!A140</f>
        <v>2040</v>
      </c>
      <c r="B153" s="4"/>
      <c r="C153" s="769">
        <f>'4A SWD Case 2'!BN110</f>
        <v>367.2260647271425</v>
      </c>
      <c r="D153" s="3">
        <f>'4B Biological treatment '!T206</f>
        <v>0.78701679032180316</v>
      </c>
      <c r="E153" s="1159">
        <f>'4B Biological treatment '!U206</f>
        <v>35.415755564481138</v>
      </c>
      <c r="F153" s="1159">
        <f>'4B Biological treatment '!W206</f>
        <v>2.124945333868868</v>
      </c>
      <c r="G153" s="952">
        <f>'4C2 Open-burning '!R145</f>
        <v>10.130803750690212</v>
      </c>
      <c r="H153" s="952">
        <f>'4C2 Open-burning '!Z145</f>
        <v>3.4087053037758683</v>
      </c>
      <c r="I153" s="952">
        <f>'4C2 Open-burning '!AH145</f>
        <v>4.7454931083286141E-2</v>
      </c>
      <c r="J153" s="987">
        <f>'4D Wastewater treatment and dis'!AV182</f>
        <v>228.32678738817191</v>
      </c>
      <c r="K153" s="770">
        <f>'4D Wastewater treatment and dis'!AW182</f>
        <v>3.5988263386881876</v>
      </c>
      <c r="L153" s="771">
        <f t="shared" si="121"/>
        <v>7711.7473592699926</v>
      </c>
      <c r="M153" s="772">
        <f t="shared" si="122"/>
        <v>16.527352596757865</v>
      </c>
      <c r="N153" s="771">
        <f t="shared" si="123"/>
        <v>1402.463920353453</v>
      </c>
      <c r="O153" s="773">
        <f t="shared" si="124"/>
        <v>96.424643765802159</v>
      </c>
      <c r="P153" s="771">
        <f t="shared" si="125"/>
        <v>5910.4987001449481</v>
      </c>
      <c r="Q153" s="519">
        <f t="shared" si="126"/>
        <v>7711.7473592699926</v>
      </c>
      <c r="R153" s="521">
        <f t="shared" si="127"/>
        <v>1418.9912729502109</v>
      </c>
      <c r="S153" s="518">
        <f t="shared" si="128"/>
        <v>96.424643765802159</v>
      </c>
      <c r="T153" s="519">
        <f t="shared" si="129"/>
        <v>5910.4987001449481</v>
      </c>
      <c r="U153" s="519">
        <f t="shared" si="130"/>
        <v>15137.661976130954</v>
      </c>
    </row>
    <row r="154" spans="1:21">
      <c r="A154" s="4">
        <f>'Input data'!A141</f>
        <v>2041</v>
      </c>
      <c r="B154" s="4"/>
      <c r="C154" s="769">
        <f>'4A SWD Case 2'!BN111</f>
        <v>354.21421401246687</v>
      </c>
      <c r="D154" s="3">
        <f>'4B Biological treatment '!T207</f>
        <v>0.79366624085459558</v>
      </c>
      <c r="E154" s="1159">
        <f>'4B Biological treatment '!U207</f>
        <v>35.714980838456796</v>
      </c>
      <c r="F154" s="1159">
        <f>'4B Biological treatment '!W207</f>
        <v>2.1428988503074073</v>
      </c>
      <c r="G154" s="952">
        <f>'4C2 Open-burning '!R146</f>
        <v>10.11058891527121</v>
      </c>
      <c r="H154" s="952">
        <f>'4C2 Open-burning '!Z146</f>
        <v>3.4019036305420918</v>
      </c>
      <c r="I154" s="952">
        <f>'4C2 Open-burning '!AH146</f>
        <v>4.7360240311924248E-2</v>
      </c>
      <c r="J154" s="987">
        <f>'4D Wastewater treatment and dis'!AV183</f>
        <v>229.7471319570034</v>
      </c>
      <c r="K154" s="770">
        <f>'4D Wastewater treatment and dis'!AW183</f>
        <v>3.6212134335306052</v>
      </c>
      <c r="L154" s="771">
        <f t="shared" si="121"/>
        <v>7438.4984942618039</v>
      </c>
      <c r="M154" s="772">
        <f t="shared" si="122"/>
        <v>16.666991057946507</v>
      </c>
      <c r="N154" s="771">
        <f t="shared" si="123"/>
        <v>1414.313241202889</v>
      </c>
      <c r="O154" s="773">
        <f t="shared" si="124"/>
        <v>96.232239653351655</v>
      </c>
      <c r="P154" s="771">
        <f t="shared" si="125"/>
        <v>5947.2659354915595</v>
      </c>
      <c r="Q154" s="519">
        <f t="shared" si="126"/>
        <v>7438.4984942618039</v>
      </c>
      <c r="R154" s="521">
        <f t="shared" si="127"/>
        <v>1430.9802322608355</v>
      </c>
      <c r="S154" s="518">
        <f t="shared" si="128"/>
        <v>96.232239653351655</v>
      </c>
      <c r="T154" s="519">
        <f t="shared" si="129"/>
        <v>5947.2659354915595</v>
      </c>
      <c r="U154" s="519">
        <f t="shared" si="130"/>
        <v>14912.976901667549</v>
      </c>
    </row>
    <row r="155" spans="1:21">
      <c r="A155" s="4">
        <f>'Input data'!A142</f>
        <v>2042</v>
      </c>
      <c r="B155" s="4"/>
      <c r="C155" s="769">
        <f>'4A SWD Case 2'!BN112</f>
        <v>342.02453240406123</v>
      </c>
      <c r="D155" s="3">
        <f>'4B Biological treatment '!T208</f>
        <v>0.80059943256218458</v>
      </c>
      <c r="E155" s="1159">
        <f>'4B Biological treatment '!U208</f>
        <v>36.026974465298309</v>
      </c>
      <c r="F155" s="1159">
        <f>'4B Biological treatment '!W208</f>
        <v>2.161618467917898</v>
      </c>
      <c r="G155" s="952">
        <f>'4C2 Open-burning '!R147</f>
        <v>10.09061267071135</v>
      </c>
      <c r="H155" s="952">
        <f>'4C2 Open-burning '!Z147</f>
        <v>3.3951822358278685</v>
      </c>
      <c r="I155" s="952">
        <f>'4C2 Open-burning '!AH147</f>
        <v>4.726666715304962E-2</v>
      </c>
      <c r="J155" s="987">
        <f>'4D Wastewater treatment and dis'!AV184</f>
        <v>231.17387447434314</v>
      </c>
      <c r="K155" s="770">
        <f>'4D Wastewater treatment and dis'!AW184</f>
        <v>3.643701371142583</v>
      </c>
      <c r="L155" s="771">
        <f t="shared" si="121"/>
        <v>7182.5151804852858</v>
      </c>
      <c r="M155" s="772">
        <f t="shared" si="122"/>
        <v>16.812588083805878</v>
      </c>
      <c r="N155" s="771">
        <f t="shared" si="123"/>
        <v>1426.6681888258129</v>
      </c>
      <c r="O155" s="773">
        <f t="shared" si="124"/>
        <v>96.042106440541971</v>
      </c>
      <c r="P155" s="771">
        <f t="shared" si="125"/>
        <v>5984.1987890154069</v>
      </c>
      <c r="Q155" s="519">
        <f t="shared" si="126"/>
        <v>7182.5151804852858</v>
      </c>
      <c r="R155" s="521">
        <f t="shared" si="127"/>
        <v>1443.4807769096187</v>
      </c>
      <c r="S155" s="518">
        <f t="shared" si="128"/>
        <v>96.042106440541971</v>
      </c>
      <c r="T155" s="519">
        <f t="shared" si="129"/>
        <v>5984.1987890154069</v>
      </c>
      <c r="U155" s="519">
        <f t="shared" si="130"/>
        <v>14706.236852850854</v>
      </c>
    </row>
    <row r="156" spans="1:21">
      <c r="A156" s="4">
        <f>'Input data'!A143</f>
        <v>2043</v>
      </c>
      <c r="B156" s="4"/>
      <c r="C156" s="769">
        <f>'4A SWD Case 2'!BN113</f>
        <v>330.62149362156333</v>
      </c>
      <c r="D156" s="3">
        <f>'4B Biological treatment '!T209</f>
        <v>0.80779898466816624</v>
      </c>
      <c r="E156" s="1159">
        <f>'4B Biological treatment '!U209</f>
        <v>36.350954310067479</v>
      </c>
      <c r="F156" s="1159">
        <f>'4B Biological treatment '!W209</f>
        <v>2.1810572586040484</v>
      </c>
      <c r="G156" s="952">
        <f>'4C2 Open-burning '!R148</f>
        <v>10.070827702379546</v>
      </c>
      <c r="H156" s="952">
        <f>'4C2 Open-burning '!Z148</f>
        <v>3.3885251997083947</v>
      </c>
      <c r="I156" s="952">
        <f>'4C2 Open-burning '!AH148</f>
        <v>4.7173989974439126E-2</v>
      </c>
      <c r="J156" s="987">
        <f>'4D Wastewater treatment and dis'!AV185</f>
        <v>232.61021391444527</v>
      </c>
      <c r="K156" s="770">
        <f>'4D Wastewater treatment and dis'!AW185</f>
        <v>3.6663405729089016</v>
      </c>
      <c r="L156" s="771">
        <f t="shared" si="121"/>
        <v>6943.0513660528304</v>
      </c>
      <c r="M156" s="772">
        <f t="shared" si="122"/>
        <v>16.963778678031492</v>
      </c>
      <c r="N156" s="771">
        <f t="shared" si="123"/>
        <v>1439.4977906786721</v>
      </c>
      <c r="O156" s="773">
        <f t="shared" si="124"/>
        <v>95.85379378833197</v>
      </c>
      <c r="P156" s="771">
        <f t="shared" si="125"/>
        <v>6021.38006980511</v>
      </c>
      <c r="Q156" s="519">
        <f t="shared" si="126"/>
        <v>6943.0513660528304</v>
      </c>
      <c r="R156" s="521">
        <f t="shared" si="127"/>
        <v>1456.4615693567036</v>
      </c>
      <c r="S156" s="518">
        <f t="shared" si="128"/>
        <v>95.85379378833197</v>
      </c>
      <c r="T156" s="519">
        <f t="shared" si="129"/>
        <v>6021.38006980511</v>
      </c>
      <c r="U156" s="519">
        <f t="shared" si="130"/>
        <v>14516.746799002976</v>
      </c>
    </row>
    <row r="157" spans="1:21">
      <c r="A157" s="4">
        <f>'Input data'!A144</f>
        <v>2044</v>
      </c>
      <c r="B157" s="4"/>
      <c r="C157" s="769">
        <f>'4A SWD Case 2'!BN114</f>
        <v>319.97112931585372</v>
      </c>
      <c r="D157" s="3">
        <f>'4B Biological treatment '!T210</f>
        <v>0.81530356940003967</v>
      </c>
      <c r="E157" s="1159">
        <f>'4B Biological treatment '!U210</f>
        <v>36.68866062300178</v>
      </c>
      <c r="F157" s="1159">
        <f>'4B Biological treatment '!W210</f>
        <v>2.2013196373801067</v>
      </c>
      <c r="G157" s="952">
        <f>'4C2 Open-burning '!R149</f>
        <v>10.051275583241116</v>
      </c>
      <c r="H157" s="952">
        <f>'4C2 Open-burning '!Z149</f>
        <v>3.3819465102137247</v>
      </c>
      <c r="I157" s="952">
        <f>'4C2 Open-burning '!AH149</f>
        <v>4.7082403513080281E-2</v>
      </c>
      <c r="J157" s="987">
        <f>'4D Wastewater treatment and dis'!AV186</f>
        <v>234.05295130305572</v>
      </c>
      <c r="K157" s="770">
        <f>'4D Wastewater treatment and dis'!AW186</f>
        <v>3.6890806174447812</v>
      </c>
      <c r="L157" s="771">
        <f t="shared" si="121"/>
        <v>6719.3937156329284</v>
      </c>
      <c r="M157" s="772">
        <f t="shared" si="122"/>
        <v>17.121374957400832</v>
      </c>
      <c r="N157" s="771">
        <f t="shared" si="123"/>
        <v>1452.8709606708703</v>
      </c>
      <c r="O157" s="773">
        <f t="shared" si="124"/>
        <v>95.667697386784226</v>
      </c>
      <c r="P157" s="771">
        <f t="shared" si="125"/>
        <v>6058.7269687720527</v>
      </c>
      <c r="Q157" s="519">
        <f t="shared" si="126"/>
        <v>6719.3937156329284</v>
      </c>
      <c r="R157" s="521">
        <f t="shared" si="127"/>
        <v>1469.9923356282711</v>
      </c>
      <c r="S157" s="518">
        <f t="shared" si="128"/>
        <v>95.667697386784226</v>
      </c>
      <c r="T157" s="519">
        <f t="shared" si="129"/>
        <v>6058.7269687720527</v>
      </c>
      <c r="U157" s="519">
        <f t="shared" si="130"/>
        <v>14343.780717420035</v>
      </c>
    </row>
    <row r="158" spans="1:21">
      <c r="A158" s="4">
        <f>'Input data'!A145</f>
        <v>2045</v>
      </c>
      <c r="B158" s="4"/>
      <c r="C158" s="769">
        <f>'4A SWD Case 2'!BN115</f>
        <v>310.04097140589431</v>
      </c>
      <c r="D158" s="3">
        <f>'4B Biological treatment '!T211</f>
        <v>0.82327395893954247</v>
      </c>
      <c r="E158" s="1159">
        <f>'4B Biological treatment '!U211</f>
        <v>37.047328152279405</v>
      </c>
      <c r="F158" s="1159">
        <f>'4B Biological treatment '!W211</f>
        <v>2.2228396891367641</v>
      </c>
      <c r="G158" s="952">
        <f>'4C2 Open-burning '!R150</f>
        <v>10.031868174032496</v>
      </c>
      <c r="H158" s="952">
        <f>'4C2 Open-burning '!Z150</f>
        <v>3.3754165111800871</v>
      </c>
      <c r="I158" s="952">
        <f>'4C2 Open-burning '!AH150</f>
        <v>4.6991494905119391E-2</v>
      </c>
      <c r="J158" s="987">
        <f>'4D Wastewater treatment and dis'!AV187</f>
        <v>235.50848458868253</v>
      </c>
      <c r="K158" s="770">
        <f>'4D Wastewater treatment and dis'!AW187</f>
        <v>3.7120223475197802</v>
      </c>
      <c r="L158" s="771">
        <f t="shared" si="121"/>
        <v>6510.8603995237809</v>
      </c>
      <c r="M158" s="772">
        <f t="shared" si="122"/>
        <v>17.288753137730392</v>
      </c>
      <c r="N158" s="771">
        <f t="shared" si="123"/>
        <v>1467.0741948302643</v>
      </c>
      <c r="O158" s="773">
        <f t="shared" si="124"/>
        <v>95.482978329401334</v>
      </c>
      <c r="P158" s="771">
        <f t="shared" si="125"/>
        <v>6096.4051040934646</v>
      </c>
      <c r="Q158" s="519">
        <f t="shared" si="126"/>
        <v>6510.8603995237809</v>
      </c>
      <c r="R158" s="521">
        <f t="shared" si="127"/>
        <v>1484.3629479679946</v>
      </c>
      <c r="S158" s="518">
        <f t="shared" si="128"/>
        <v>95.482978329401334</v>
      </c>
      <c r="T158" s="519">
        <f t="shared" si="129"/>
        <v>6096.4051040934646</v>
      </c>
      <c r="U158" s="519">
        <f t="shared" si="130"/>
        <v>14187.111429914643</v>
      </c>
    </row>
    <row r="159" spans="1:21">
      <c r="A159" s="4">
        <f>'Input data'!A146</f>
        <v>2046</v>
      </c>
      <c r="B159" s="4"/>
      <c r="C159" s="769">
        <f>'4A SWD Case 2'!BN116</f>
        <v>300.80027530498313</v>
      </c>
      <c r="D159" s="3">
        <f>'4B Biological treatment '!T212</f>
        <v>0.83163845758400778</v>
      </c>
      <c r="E159" s="1159">
        <f>'4B Biological treatment '!U212</f>
        <v>37.423730591280346</v>
      </c>
      <c r="F159" s="1159">
        <f>'4B Biological treatment '!W212</f>
        <v>2.2454238354768203</v>
      </c>
      <c r="G159" s="952">
        <f>'4C2 Open-burning '!R151</f>
        <v>10.016107809927815</v>
      </c>
      <c r="H159" s="952">
        <f>'4C2 Open-burning '!Z151</f>
        <v>3.3701136311682811</v>
      </c>
      <c r="I159" s="952">
        <f>'4C2 Open-burning '!AH151</f>
        <v>4.6917669865088968E-2</v>
      </c>
      <c r="J159" s="987">
        <f>'4D Wastewater treatment and dis'!AV188</f>
        <v>236.70809993397941</v>
      </c>
      <c r="K159" s="770">
        <f>'4D Wastewater treatment and dis'!AW188</f>
        <v>3.7309303668123635</v>
      </c>
      <c r="L159" s="771">
        <f t="shared" si="121"/>
        <v>6316.805781404646</v>
      </c>
      <c r="M159" s="772">
        <f t="shared" si="122"/>
        <v>17.464407609264164</v>
      </c>
      <c r="N159" s="771">
        <f t="shared" si="123"/>
        <v>1481.9797314147017</v>
      </c>
      <c r="O159" s="773">
        <f t="shared" si="124"/>
        <v>95.3329717226393</v>
      </c>
      <c r="P159" s="771">
        <f t="shared" si="125"/>
        <v>6127.4585123254001</v>
      </c>
      <c r="Q159" s="519">
        <f t="shared" si="126"/>
        <v>6316.805781404646</v>
      </c>
      <c r="R159" s="521">
        <f t="shared" si="127"/>
        <v>1499.4441390239658</v>
      </c>
      <c r="S159" s="518">
        <f t="shared" si="128"/>
        <v>95.3329717226393</v>
      </c>
      <c r="T159" s="519">
        <f t="shared" si="129"/>
        <v>6127.4585123254001</v>
      </c>
      <c r="U159" s="519">
        <f t="shared" si="130"/>
        <v>14039.041404476651</v>
      </c>
    </row>
    <row r="160" spans="1:21">
      <c r="A160" s="4">
        <f>'Input data'!A147</f>
        <v>2047</v>
      </c>
      <c r="B160" s="4"/>
      <c r="C160" s="769">
        <f>'4A SWD Case 2'!BN117</f>
        <v>292.21776633081697</v>
      </c>
      <c r="D160" s="3">
        <f>'4B Biological treatment '!T213</f>
        <v>0.84040227956635705</v>
      </c>
      <c r="E160" s="1159">
        <f>'4B Biological treatment '!U213</f>
        <v>37.818102580486055</v>
      </c>
      <c r="F160" s="1159">
        <f>'4B Biological treatment '!W213</f>
        <v>2.269086154829163</v>
      </c>
      <c r="G160" s="952">
        <f>'4C2 Open-burning '!R152</f>
        <v>10.000431486540728</v>
      </c>
      <c r="H160" s="952">
        <f>'4C2 Open-burning '!Z152</f>
        <v>3.364839028285008</v>
      </c>
      <c r="I160" s="952">
        <f>'4C2 Open-burning '!AH152</f>
        <v>4.6844238490414199E-2</v>
      </c>
      <c r="J160" s="987">
        <f>'4D Wastewater treatment and dis'!AV189</f>
        <v>237.91731220203872</v>
      </c>
      <c r="K160" s="770">
        <f>'4D Wastewater treatment and dis'!AW189</f>
        <v>3.7499896502592862</v>
      </c>
      <c r="L160" s="771">
        <f t="shared" si="121"/>
        <v>6136.5730929471565</v>
      </c>
      <c r="M160" s="772">
        <f t="shared" si="122"/>
        <v>17.648447870893499</v>
      </c>
      <c r="N160" s="771">
        <f t="shared" si="123"/>
        <v>1497.5968621872476</v>
      </c>
      <c r="O160" s="773">
        <f t="shared" si="124"/>
        <v>95.183765012554304</v>
      </c>
      <c r="P160" s="771">
        <f t="shared" si="125"/>
        <v>6158.7603478231922</v>
      </c>
      <c r="Q160" s="519">
        <f t="shared" si="126"/>
        <v>6136.5730929471565</v>
      </c>
      <c r="R160" s="521">
        <f t="shared" si="127"/>
        <v>1515.2453100581411</v>
      </c>
      <c r="S160" s="518">
        <f t="shared" si="128"/>
        <v>95.183765012554304</v>
      </c>
      <c r="T160" s="519">
        <f t="shared" si="129"/>
        <v>6158.7603478231922</v>
      </c>
      <c r="U160" s="519">
        <f t="shared" si="130"/>
        <v>13905.762515841045</v>
      </c>
    </row>
    <row r="161" spans="1:21">
      <c r="A161" s="4">
        <f>'Input data'!A148</f>
        <v>2048</v>
      </c>
      <c r="B161" s="4"/>
      <c r="C161" s="769">
        <f>'4A SWD Case 2'!BN118</f>
        <v>284.26531877503862</v>
      </c>
      <c r="D161" s="3">
        <f>'4B Biological treatment '!T214</f>
        <v>0.84926691005184995</v>
      </c>
      <c r="E161" s="1159">
        <f>'4B Biological treatment '!U214</f>
        <v>38.21701095233324</v>
      </c>
      <c r="F161" s="1159">
        <f>'4B Biological treatment '!W214</f>
        <v>2.2930206571399943</v>
      </c>
      <c r="G161" s="952">
        <f>'4C2 Open-burning '!R153</f>
        <v>9.9848806539350701</v>
      </c>
      <c r="H161" s="952">
        <f>'4C2 Open-burning '!Z153</f>
        <v>3.3596066492077385</v>
      </c>
      <c r="I161" s="952">
        <f>'4C2 Open-burning '!AH153</f>
        <v>4.6771394942384859E-2</v>
      </c>
      <c r="J161" s="987">
        <f>'4D Wastewater treatment and dis'!AV190</f>
        <v>239.13292241860617</v>
      </c>
      <c r="K161" s="770">
        <f>'4D Wastewater treatment and dis'!AW190</f>
        <v>3.76914977647577</v>
      </c>
      <c r="L161" s="771">
        <f t="shared" si="121"/>
        <v>5969.5716942758108</v>
      </c>
      <c r="M161" s="772">
        <f t="shared" si="122"/>
        <v>17.834605111088848</v>
      </c>
      <c r="N161" s="771">
        <f t="shared" si="123"/>
        <v>1513.3936337123964</v>
      </c>
      <c r="O161" s="773">
        <f t="shared" si="124"/>
        <v>95.035752719436886</v>
      </c>
      <c r="P161" s="771">
        <f t="shared" si="125"/>
        <v>6190.2278014982176</v>
      </c>
      <c r="Q161" s="519">
        <f t="shared" si="126"/>
        <v>5969.5716942758108</v>
      </c>
      <c r="R161" s="521">
        <f t="shared" si="127"/>
        <v>1531.2282388234853</v>
      </c>
      <c r="S161" s="518">
        <f t="shared" si="128"/>
        <v>95.035752719436886</v>
      </c>
      <c r="T161" s="519">
        <f t="shared" si="129"/>
        <v>6190.2278014982176</v>
      </c>
      <c r="U161" s="519">
        <f t="shared" si="130"/>
        <v>13786.063487316951</v>
      </c>
    </row>
    <row r="162" spans="1:21">
      <c r="A162" s="4">
        <f>'Input data'!A149</f>
        <v>2049</v>
      </c>
      <c r="B162" s="4"/>
      <c r="C162" s="769">
        <f>'4A SWD Case 2'!BN119</f>
        <v>276.91535956603855</v>
      </c>
      <c r="D162" s="3">
        <f>'4B Biological treatment '!T215</f>
        <v>0.85856866706390544</v>
      </c>
      <c r="E162" s="1159">
        <f>'4B Biological treatment '!U215</f>
        <v>38.635590017875742</v>
      </c>
      <c r="F162" s="1159">
        <f>'4B Biological treatment '!W215</f>
        <v>2.3181354010725443</v>
      </c>
      <c r="G162" s="952">
        <f>'4C2 Open-burning '!R154</f>
        <v>9.9694945657495211</v>
      </c>
      <c r="H162" s="952">
        <f>'4C2 Open-burning '!Z154</f>
        <v>3.3544297015841229</v>
      </c>
      <c r="I162" s="952">
        <f>'4C2 Open-burning '!AH154</f>
        <v>4.6699323093748281E-2</v>
      </c>
      <c r="J162" s="987">
        <f>'4D Wastewater treatment and dis'!AV191</f>
        <v>240.35173160942776</v>
      </c>
      <c r="K162" s="770">
        <f>'4D Wastewater treatment and dis'!AW191</f>
        <v>3.7883603240770336</v>
      </c>
      <c r="L162" s="771">
        <f t="shared" si="121"/>
        <v>5815.2225508868096</v>
      </c>
      <c r="M162" s="772">
        <f t="shared" si="122"/>
        <v>18.029942008342015</v>
      </c>
      <c r="N162" s="771">
        <f t="shared" si="123"/>
        <v>1529.9693647078793</v>
      </c>
      <c r="O162" s="773">
        <f t="shared" si="124"/>
        <v>94.889308458078077</v>
      </c>
      <c r="P162" s="771">
        <f t="shared" si="125"/>
        <v>6221.7780642618636</v>
      </c>
      <c r="Q162" s="519">
        <f t="shared" si="126"/>
        <v>5815.2225508868096</v>
      </c>
      <c r="R162" s="521">
        <f t="shared" si="127"/>
        <v>1547.9993067162213</v>
      </c>
      <c r="S162" s="518">
        <f t="shared" si="128"/>
        <v>94.889308458078077</v>
      </c>
      <c r="T162" s="519">
        <f t="shared" si="129"/>
        <v>6221.7780642618636</v>
      </c>
      <c r="U162" s="519">
        <f t="shared" si="130"/>
        <v>13679.889230322973</v>
      </c>
    </row>
    <row r="163" spans="1:21">
      <c r="A163" s="4">
        <f>'Input data'!A150</f>
        <v>2050</v>
      </c>
      <c r="B163" s="4"/>
      <c r="C163" s="769">
        <f>'4A SWD Case 2'!BN120</f>
        <v>270.14209822358305</v>
      </c>
      <c r="D163" s="3">
        <f>'4B Biological treatment '!T216</f>
        <v>0.86834231215533209</v>
      </c>
      <c r="E163" s="1159">
        <f>'4B Biological treatment '!U216</f>
        <v>39.075404046989938</v>
      </c>
      <c r="F163" s="1159">
        <f>'4B Biological treatment '!W216</f>
        <v>2.344524242819396</v>
      </c>
      <c r="G163" s="952">
        <f>'4C2 Open-burning '!R155</f>
        <v>9.9541915956313378</v>
      </c>
      <c r="H163" s="952">
        <f>'4C2 Open-burning '!Z155</f>
        <v>3.3492807206454862</v>
      </c>
      <c r="I163" s="952">
        <f>'4C2 Open-burning '!AH155</f>
        <v>4.6627640588569122E-2</v>
      </c>
      <c r="J163" s="987">
        <f>'4D Wastewater treatment and dis'!AV192</f>
        <v>241.58013772301177</v>
      </c>
      <c r="K163" s="770">
        <f>'4D Wastewater treatment and dis'!AW192</f>
        <v>3.8077221358326381</v>
      </c>
      <c r="L163" s="771">
        <f t="shared" si="121"/>
        <v>5672.9840626952437</v>
      </c>
      <c r="M163" s="772">
        <f t="shared" si="122"/>
        <v>18.235188555261974</v>
      </c>
      <c r="N163" s="771">
        <f t="shared" si="123"/>
        <v>1547.3860002608014</v>
      </c>
      <c r="O163" s="773">
        <f t="shared" si="124"/>
        <v>94.743655311642982</v>
      </c>
      <c r="P163" s="771">
        <f t="shared" si="125"/>
        <v>6253.5767542913654</v>
      </c>
      <c r="Q163" s="471">
        <f t="shared" si="126"/>
        <v>5672.9840626952437</v>
      </c>
      <c r="R163" s="517">
        <f t="shared" si="127"/>
        <v>1565.6211888160635</v>
      </c>
      <c r="S163" s="514">
        <f t="shared" si="128"/>
        <v>94.743655311642982</v>
      </c>
      <c r="T163" s="471">
        <f t="shared" si="129"/>
        <v>6253.5767542913654</v>
      </c>
      <c r="U163" s="471">
        <f t="shared" si="130"/>
        <v>13586.925661114316</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820.16905115932695</v>
      </c>
      <c r="D165" s="3">
        <f>'4B Biological treatment '!T218</f>
        <v>0.67261797243059629</v>
      </c>
      <c r="E165" s="178">
        <f>'4B Biological treatment '!U218</f>
        <v>18.616319402796545</v>
      </c>
      <c r="F165" s="178">
        <f>'4B Biological treatment '!W218</f>
        <v>1.1169791641677926</v>
      </c>
      <c r="G165" s="952">
        <f>'4C2 Open-burning '!R157</f>
        <v>32.917079168029382</v>
      </c>
      <c r="H165" s="952">
        <f>'4C2 Open-burning '!Z157</f>
        <v>11.075589371398827</v>
      </c>
      <c r="I165" s="952">
        <f>'4C2 Open-burning '!AH157</f>
        <v>0.15419089756580112</v>
      </c>
      <c r="J165" s="987">
        <f>'4D Wastewater treatment and dis'!AV194</f>
        <v>137.16052018288545</v>
      </c>
      <c r="K165" s="770">
        <f>'4D Wastewater treatment and dis'!AW194</f>
        <v>2.8960026562367029</v>
      </c>
      <c r="L165" s="771">
        <f>C165*$B$3</f>
        <v>17223.550074345865</v>
      </c>
      <c r="M165" s="772">
        <f t="shared" ref="M165:M197" si="131">D165*$B$3</f>
        <v>14.124977421042523</v>
      </c>
      <c r="N165" s="771">
        <f t="shared" ref="N165:N197" si="132">E165*$B$3+F165*$C$3</f>
        <v>737.20624835074318</v>
      </c>
      <c r="O165" s="773">
        <f t="shared" ref="O165:O197" si="133">G165+H165*$B$3+I165*$C$3</f>
        <v>313.3036342128031</v>
      </c>
      <c r="P165" s="771">
        <f t="shared" ref="P165:P197" si="134">J165*$B$3+K165*$C$3</f>
        <v>3778.1317472739725</v>
      </c>
      <c r="Q165" s="471">
        <f t="shared" ref="Q165:Q197" si="135">L165</f>
        <v>17223.550074345865</v>
      </c>
      <c r="R165" s="517">
        <f t="shared" ref="R165:R197" si="136">M165+N165</f>
        <v>751.33122577178574</v>
      </c>
      <c r="S165" s="514">
        <f t="shared" ref="S165:S197" si="137">O165</f>
        <v>313.3036342128031</v>
      </c>
      <c r="T165" s="471">
        <f t="shared" ref="T165:T197" si="138">P165</f>
        <v>3778.1317472739725</v>
      </c>
      <c r="U165" s="471">
        <f t="shared" ref="U165:U197" si="139">SUM(Q165:T165)</f>
        <v>22066.316681604425</v>
      </c>
    </row>
    <row r="166" spans="1:21">
      <c r="A166">
        <f>'Input data'!A119</f>
        <v>2019</v>
      </c>
      <c r="C166" s="314">
        <f>'4A SWD Case 3'!BG89</f>
        <v>801.62200013055758</v>
      </c>
      <c r="D166" s="3">
        <f>'4B Biological treatment '!T219</f>
        <v>1.1284607435210157</v>
      </c>
      <c r="E166" s="178">
        <f>'4B Biological treatment '!U219</f>
        <v>17.910036401106023</v>
      </c>
      <c r="F166" s="178">
        <f>'4B Biological treatment '!W219</f>
        <v>1.0746021840663613</v>
      </c>
      <c r="G166" s="952">
        <f>'4C2 Open-burning '!R158</f>
        <v>32.340331503378508</v>
      </c>
      <c r="H166" s="952">
        <f>'4C2 Open-burning '!Z158</f>
        <v>10.881531439588446</v>
      </c>
      <c r="I166" s="952">
        <f>'4C2 Open-burning '!AH158</f>
        <v>0.15148928362163711</v>
      </c>
      <c r="J166" s="987">
        <f>'4D Wastewater treatment and dis'!AV195</f>
        <v>143.32311856444659</v>
      </c>
      <c r="K166" s="770">
        <f>'4D Wastewater treatment and dis'!AW195</f>
        <v>2.9428441226975277</v>
      </c>
      <c r="L166" s="771">
        <f t="shared" ref="L166:L197" si="140">C166*$B$3</f>
        <v>16834.06200274171</v>
      </c>
      <c r="M166" s="772">
        <f t="shared" si="131"/>
        <v>23.697675613941328</v>
      </c>
      <c r="N166" s="771">
        <f t="shared" si="132"/>
        <v>709.23744148379853</v>
      </c>
      <c r="O166" s="773">
        <f t="shared" si="133"/>
        <v>307.81416965744336</v>
      </c>
      <c r="P166" s="771">
        <f t="shared" si="134"/>
        <v>3922.0671678896119</v>
      </c>
      <c r="Q166" s="519">
        <f t="shared" si="135"/>
        <v>16834.06200274171</v>
      </c>
      <c r="R166" s="521">
        <f t="shared" si="136"/>
        <v>732.93511709773986</v>
      </c>
      <c r="S166" s="518">
        <f t="shared" si="137"/>
        <v>307.81416965744336</v>
      </c>
      <c r="T166" s="519">
        <f t="shared" si="138"/>
        <v>3922.0671678896119</v>
      </c>
      <c r="U166" s="519">
        <f t="shared" si="139"/>
        <v>21796.878457386501</v>
      </c>
    </row>
    <row r="167" spans="1:21">
      <c r="A167">
        <f>'Input data'!A120</f>
        <v>2020</v>
      </c>
      <c r="C167" s="314">
        <f>'4A SWD Case 3'!BG90</f>
        <v>782.61612778665653</v>
      </c>
      <c r="D167" s="3">
        <f>'4B Biological treatment '!T220</f>
        <v>1.6995699695463999</v>
      </c>
      <c r="E167" s="178">
        <f>'4B Biological treatment '!U220</f>
        <v>17.582313295543536</v>
      </c>
      <c r="F167" s="178">
        <f>'4B Biological treatment '!W220</f>
        <v>1.0549387977326121</v>
      </c>
      <c r="G167" s="952">
        <f>'4C2 Open-burning '!R159</f>
        <v>31.469352619539116</v>
      </c>
      <c r="H167" s="952">
        <f>'4C2 Open-burning '!Z159</f>
        <v>10.588473710519533</v>
      </c>
      <c r="I167" s="952">
        <f>'4C2 Open-burning '!AH159</f>
        <v>0.14740942540655916</v>
      </c>
      <c r="J167" s="987">
        <f>'4D Wastewater treatment and dis'!AV196</f>
        <v>149.6491219215433</v>
      </c>
      <c r="K167" s="770">
        <f>'4D Wastewater treatment and dis'!AW196</f>
        <v>2.9904419099300554</v>
      </c>
      <c r="L167" s="771">
        <f t="shared" si="140"/>
        <v>16434.938683519787</v>
      </c>
      <c r="M167" s="772">
        <f t="shared" si="131"/>
        <v>35.690969360474398</v>
      </c>
      <c r="N167" s="771">
        <f t="shared" si="132"/>
        <v>696.25960650352397</v>
      </c>
      <c r="O167" s="773">
        <f t="shared" si="133"/>
        <v>299.52422241648264</v>
      </c>
      <c r="P167" s="771">
        <f t="shared" si="134"/>
        <v>4069.6685524307268</v>
      </c>
      <c r="Q167" s="519">
        <f t="shared" si="135"/>
        <v>16434.938683519787</v>
      </c>
      <c r="R167" s="521">
        <f t="shared" si="136"/>
        <v>731.95057586399832</v>
      </c>
      <c r="S167" s="518">
        <f t="shared" si="137"/>
        <v>299.52422241648264</v>
      </c>
      <c r="T167" s="519">
        <f t="shared" si="138"/>
        <v>4069.6685524307268</v>
      </c>
      <c r="U167" s="519">
        <f t="shared" si="139"/>
        <v>21536.082034230996</v>
      </c>
    </row>
    <row r="168" spans="1:21">
      <c r="A168">
        <f>'Input data'!A121</f>
        <v>2021</v>
      </c>
      <c r="C168" s="314">
        <f>'4A SWD Case 3'!BG91</f>
        <v>762.06707578491785</v>
      </c>
      <c r="D168" s="3">
        <f>'4B Biological treatment '!T221</f>
        <v>2.6647907753456446</v>
      </c>
      <c r="E168" s="178">
        <f>'4B Biological treatment '!U221</f>
        <v>18.955075883654807</v>
      </c>
      <c r="F168" s="178">
        <f>'4B Biological treatment '!W221</f>
        <v>1.1373045530192885</v>
      </c>
      <c r="G168" s="952">
        <f>'4C2 Open-burning '!R160</f>
        <v>28.930991306569897</v>
      </c>
      <c r="H168" s="952">
        <f>'4C2 Open-burning '!Z160</f>
        <v>9.7343928415827357</v>
      </c>
      <c r="I168" s="952">
        <f>'4C2 Open-burning '!AH160</f>
        <v>0.13551917818276635</v>
      </c>
      <c r="J168" s="987">
        <f>'4D Wastewater treatment and dis'!AV197</f>
        <v>155.4265138839244</v>
      </c>
      <c r="K168" s="770">
        <f>'4D Wastewater treatment and dis'!AW197</f>
        <v>3.024879715734945</v>
      </c>
      <c r="L168" s="771">
        <f t="shared" si="140"/>
        <v>16003.408591483274</v>
      </c>
      <c r="M168" s="772">
        <f t="shared" si="131"/>
        <v>55.960606282258539</v>
      </c>
      <c r="N168" s="771">
        <f t="shared" si="132"/>
        <v>750.62100499273038</v>
      </c>
      <c r="O168" s="773">
        <f t="shared" si="133"/>
        <v>275.36418621646493</v>
      </c>
      <c r="P168" s="771">
        <f t="shared" si="134"/>
        <v>4201.6695034402455</v>
      </c>
      <c r="Q168" s="519">
        <f t="shared" si="135"/>
        <v>16003.408591483274</v>
      </c>
      <c r="R168" s="521">
        <f t="shared" si="136"/>
        <v>806.58161127498897</v>
      </c>
      <c r="S168" s="518">
        <f t="shared" si="137"/>
        <v>275.36418621646493</v>
      </c>
      <c r="T168" s="519">
        <f t="shared" si="138"/>
        <v>4201.6695034402455</v>
      </c>
      <c r="U168" s="519">
        <f t="shared" si="139"/>
        <v>21287.023892414974</v>
      </c>
    </row>
    <row r="169" spans="1:21">
      <c r="A169">
        <f>'Input data'!A122</f>
        <v>2022</v>
      </c>
      <c r="C169" s="314">
        <f>'4A SWD Case 3'!BG92</f>
        <v>736.62416519458623</v>
      </c>
      <c r="D169" s="3">
        <f>'4B Biological treatment '!T222</f>
        <v>3.5443836514186633</v>
      </c>
      <c r="E169" s="178">
        <f>'4B Biological treatment '!U222</f>
        <v>17.721918257093318</v>
      </c>
      <c r="F169" s="178">
        <f>'4B Biological treatment '!W222</f>
        <v>1.0633150954255988</v>
      </c>
      <c r="G169" s="952">
        <f>'4C2 Open-burning '!R161</f>
        <v>24.078073091016368</v>
      </c>
      <c r="H169" s="952">
        <f>'4C2 Open-burning '!Z161</f>
        <v>8.1015344359482544</v>
      </c>
      <c r="I169" s="952">
        <f>'4C2 Open-burning '!AH161</f>
        <v>0.11278703321783931</v>
      </c>
      <c r="J169" s="987">
        <f>'4D Wastewater treatment and dis'!AV198</f>
        <v>161.31482365077883</v>
      </c>
      <c r="K169" s="770">
        <f>'4D Wastewater treatment and dis'!AW198</f>
        <v>3.0596704712332969</v>
      </c>
      <c r="L169" s="771">
        <f t="shared" si="140"/>
        <v>15469.107469086312</v>
      </c>
      <c r="M169" s="772">
        <f t="shared" si="131"/>
        <v>74.432056679791927</v>
      </c>
      <c r="N169" s="771">
        <f t="shared" si="132"/>
        <v>701.78796298089537</v>
      </c>
      <c r="O169" s="773">
        <f t="shared" si="133"/>
        <v>229.17427654345988</v>
      </c>
      <c r="P169" s="771">
        <f t="shared" si="134"/>
        <v>4336.1091427486772</v>
      </c>
      <c r="Q169" s="519">
        <f t="shared" si="135"/>
        <v>15469.107469086312</v>
      </c>
      <c r="R169" s="521">
        <f t="shared" si="136"/>
        <v>776.22001966068729</v>
      </c>
      <c r="S169" s="518">
        <f t="shared" si="137"/>
        <v>229.17427654345988</v>
      </c>
      <c r="T169" s="519">
        <f t="shared" si="138"/>
        <v>4336.1091427486772</v>
      </c>
      <c r="U169" s="519">
        <f t="shared" si="139"/>
        <v>20810.61090803914</v>
      </c>
    </row>
    <row r="170" spans="1:21">
      <c r="A170">
        <f>'Input data'!A123</f>
        <v>2023</v>
      </c>
      <c r="C170" s="314">
        <f>'4A SWD Case 3'!BG93</f>
        <v>708.95387115156745</v>
      </c>
      <c r="D170" s="3">
        <f>'4B Biological treatment '!T223</f>
        <v>3.5581600893159502</v>
      </c>
      <c r="E170" s="178">
        <f>'4B Biological treatment '!U223</f>
        <v>17.790800446579752</v>
      </c>
      <c r="F170" s="178">
        <f>'4B Biological treatment '!W223</f>
        <v>1.067448026794785</v>
      </c>
      <c r="G170" s="952">
        <f>'4C2 Open-burning '!R162</f>
        <v>22.83474736957087</v>
      </c>
      <c r="H170" s="952">
        <f>'4C2 Open-burning '!Z162</f>
        <v>7.6831933955620482</v>
      </c>
      <c r="I170" s="952">
        <f>'4C2 Open-burning '!AH162</f>
        <v>0.10696301985451132</v>
      </c>
      <c r="J170" s="987">
        <f>'4D Wastewater treatment and dis'!AV199</f>
        <v>167.32092220488411</v>
      </c>
      <c r="K170" s="770">
        <f>'4D Wastewater treatment and dis'!AW199</f>
        <v>3.0949150191946715</v>
      </c>
      <c r="L170" s="771">
        <f t="shared" si="140"/>
        <v>14888.031294182916</v>
      </c>
      <c r="M170" s="772">
        <f t="shared" si="131"/>
        <v>74.721361875634955</v>
      </c>
      <c r="N170" s="771">
        <f t="shared" si="132"/>
        <v>704.51569768455806</v>
      </c>
      <c r="O170" s="773">
        <f t="shared" si="133"/>
        <v>217.34034483127238</v>
      </c>
      <c r="P170" s="771">
        <f t="shared" si="134"/>
        <v>4473.1630222529147</v>
      </c>
      <c r="Q170" s="519">
        <f t="shared" si="135"/>
        <v>14888.031294182916</v>
      </c>
      <c r="R170" s="521">
        <f t="shared" si="136"/>
        <v>779.23705956019307</v>
      </c>
      <c r="S170" s="518">
        <f t="shared" si="137"/>
        <v>217.34034483127238</v>
      </c>
      <c r="T170" s="519">
        <f t="shared" si="138"/>
        <v>4473.1630222529147</v>
      </c>
      <c r="U170" s="519">
        <f t="shared" si="139"/>
        <v>20357.771720827295</v>
      </c>
    </row>
    <row r="171" spans="1:21">
      <c r="A171">
        <f>'Input data'!A124</f>
        <v>2024</v>
      </c>
      <c r="C171" s="314">
        <f>'4A SWD Case 3'!BG94</f>
        <v>682.41181628177424</v>
      </c>
      <c r="D171" s="3">
        <f>'4B Biological treatment '!T224</f>
        <v>3.5714476928768728</v>
      </c>
      <c r="E171" s="178">
        <f>'4B Biological treatment '!U224</f>
        <v>17.857238464384363</v>
      </c>
      <c r="F171" s="178">
        <f>'4B Biological treatment '!W224</f>
        <v>1.0714343078630617</v>
      </c>
      <c r="G171" s="952">
        <f>'4C2 Open-burning '!R163</f>
        <v>21.570136743906811</v>
      </c>
      <c r="H171" s="952">
        <f>'4C2 Open-burning '!Z163</f>
        <v>7.2576906365515708</v>
      </c>
      <c r="I171" s="952">
        <f>'4C2 Open-burning '!AH163</f>
        <v>0.1010393032802967</v>
      </c>
      <c r="J171" s="987">
        <f>'4D Wastewater treatment and dis'!AV200</f>
        <v>173.44384059068466</v>
      </c>
      <c r="K171" s="770">
        <f>'4D Wastewater treatment and dis'!AW200</f>
        <v>3.1305629382342866</v>
      </c>
      <c r="L171" s="771">
        <f t="shared" si="140"/>
        <v>14330.64814191726</v>
      </c>
      <c r="M171" s="772">
        <f t="shared" si="131"/>
        <v>75.000401550414324</v>
      </c>
      <c r="N171" s="771">
        <f t="shared" si="132"/>
        <v>707.14664318962082</v>
      </c>
      <c r="O171" s="773">
        <f t="shared" si="133"/>
        <v>205.30382412838176</v>
      </c>
      <c r="P171" s="771">
        <f t="shared" si="134"/>
        <v>4612.7951632570066</v>
      </c>
      <c r="Q171" s="519">
        <f t="shared" si="135"/>
        <v>14330.64814191726</v>
      </c>
      <c r="R171" s="521">
        <f t="shared" si="136"/>
        <v>782.1470447400352</v>
      </c>
      <c r="S171" s="518">
        <f t="shared" si="137"/>
        <v>205.30382412838176</v>
      </c>
      <c r="T171" s="519">
        <f t="shared" si="138"/>
        <v>4612.7951632570066</v>
      </c>
      <c r="U171" s="519">
        <f t="shared" si="139"/>
        <v>19930.894174042682</v>
      </c>
    </row>
    <row r="172" spans="1:21">
      <c r="A172">
        <f>'Input data'!A125</f>
        <v>2025</v>
      </c>
      <c r="C172" s="314">
        <f>'4A SWD Case 3'!BG95</f>
        <v>656.91690412075843</v>
      </c>
      <c r="D172" s="3">
        <f>'4B Biological treatment '!T225</f>
        <v>3.5853023442679781</v>
      </c>
      <c r="E172" s="178">
        <f>'4B Biological treatment '!U225</f>
        <v>17.926511721339889</v>
      </c>
      <c r="F172" s="178">
        <f>'4B Biological treatment '!W225</f>
        <v>1.0755907032803933</v>
      </c>
      <c r="G172" s="952">
        <f>'4C2 Open-burning '!R164</f>
        <v>20.283474926977643</v>
      </c>
      <c r="H172" s="952">
        <f>'4C2 Open-burning '!Z164</f>
        <v>6.8247683267858177</v>
      </c>
      <c r="I172" s="952">
        <f>'4C2 Open-burning '!AH164</f>
        <v>9.501229403675969E-2</v>
      </c>
      <c r="J172" s="987">
        <f>'4D Wastewater treatment and dis'!AV201</f>
        <v>179.68520063996107</v>
      </c>
      <c r="K172" s="770">
        <f>'4D Wastewater treatment and dis'!AW201</f>
        <v>3.166614228352143</v>
      </c>
      <c r="L172" s="771">
        <f t="shared" si="140"/>
        <v>13795.254986535927</v>
      </c>
      <c r="M172" s="772">
        <f t="shared" si="131"/>
        <v>75.291349229627542</v>
      </c>
      <c r="N172" s="771">
        <f t="shared" si="132"/>
        <v>709.88986416505963</v>
      </c>
      <c r="O172" s="773">
        <f t="shared" si="133"/>
        <v>193.05742094087532</v>
      </c>
      <c r="P172" s="771">
        <f t="shared" si="134"/>
        <v>4755.0396242283468</v>
      </c>
      <c r="Q172" s="519">
        <f t="shared" si="135"/>
        <v>13795.254986535927</v>
      </c>
      <c r="R172" s="521">
        <f t="shared" si="136"/>
        <v>785.18121339468712</v>
      </c>
      <c r="S172" s="518">
        <f t="shared" si="137"/>
        <v>193.05742094087532</v>
      </c>
      <c r="T172" s="519">
        <f t="shared" si="138"/>
        <v>4755.0396242283468</v>
      </c>
      <c r="U172" s="519">
        <f t="shared" si="139"/>
        <v>19528.533245099836</v>
      </c>
    </row>
    <row r="173" spans="1:21">
      <c r="A173">
        <f>'Input data'!A126</f>
        <v>2026</v>
      </c>
      <c r="C173" s="314">
        <f>'4A SWD Case 3'!BG96</f>
        <v>632.39151630978529</v>
      </c>
      <c r="D173" s="3">
        <f>'4B Biological treatment '!T226</f>
        <v>3.6017575943285447</v>
      </c>
      <c r="E173" s="178">
        <f>'4B Biological treatment '!U226</f>
        <v>18.008787971642722</v>
      </c>
      <c r="F173" s="178">
        <f>'4B Biological treatment '!W226</f>
        <v>1.0805272782985633</v>
      </c>
      <c r="G173" s="952">
        <f>'4C2 Open-burning '!R165</f>
        <v>18.985218856693223</v>
      </c>
      <c r="H173" s="952">
        <f>'4C2 Open-burning '!Z165</f>
        <v>6.3879449057284106</v>
      </c>
      <c r="I173" s="952">
        <f>'4C2 Open-burning '!AH165</f>
        <v>8.8930974739699215E-2</v>
      </c>
      <c r="J173" s="987">
        <f>'4D Wastewater treatment and dis'!AV202</f>
        <v>185.73911394397246</v>
      </c>
      <c r="K173" s="770">
        <f>'4D Wastewater treatment and dis'!AW202</f>
        <v>3.1977746441463193</v>
      </c>
      <c r="L173" s="771">
        <f t="shared" si="140"/>
        <v>13280.221842505491</v>
      </c>
      <c r="M173" s="772">
        <f t="shared" si="131"/>
        <v>75.636909480899433</v>
      </c>
      <c r="N173" s="771">
        <f t="shared" si="132"/>
        <v>713.14800367705175</v>
      </c>
      <c r="O173" s="773">
        <f t="shared" si="133"/>
        <v>180.70066404629659</v>
      </c>
      <c r="P173" s="771">
        <f t="shared" si="134"/>
        <v>4891.8315325087806</v>
      </c>
      <c r="Q173" s="519">
        <f t="shared" si="135"/>
        <v>13280.221842505491</v>
      </c>
      <c r="R173" s="521">
        <f t="shared" si="136"/>
        <v>788.78491315795122</v>
      </c>
      <c r="S173" s="518">
        <f t="shared" si="137"/>
        <v>180.70066404629659</v>
      </c>
      <c r="T173" s="519">
        <f t="shared" si="138"/>
        <v>4891.8315325087806</v>
      </c>
      <c r="U173" s="519">
        <f t="shared" si="139"/>
        <v>19141.538952218521</v>
      </c>
    </row>
    <row r="174" spans="1:21">
      <c r="A174">
        <f>'Input data'!A127</f>
        <v>2027</v>
      </c>
      <c r="C174" s="314">
        <f>'4A SWD Case 3'!BG97</f>
        <v>608.75751975951971</v>
      </c>
      <c r="D174" s="3">
        <f>'4B Biological treatment '!T227</f>
        <v>3.618052072207373</v>
      </c>
      <c r="E174" s="178">
        <f>'4B Biological treatment '!U227</f>
        <v>18.090260361036865</v>
      </c>
      <c r="F174" s="178">
        <f>'4B Biological treatment '!W227</f>
        <v>1.0854156216622117</v>
      </c>
      <c r="G174" s="952">
        <f>'4C2 Open-burning '!R166</f>
        <v>17.661553312930316</v>
      </c>
      <c r="H174" s="952">
        <f>'4C2 Open-burning '!Z166</f>
        <v>5.9425719747659889</v>
      </c>
      <c r="I174" s="952">
        <f>'4C2 Open-burning '!AH166</f>
        <v>8.2730631834793011E-2</v>
      </c>
      <c r="J174" s="987">
        <f>'4D Wastewater treatment and dis'!AV203</f>
        <v>191.89752530165873</v>
      </c>
      <c r="K174" s="770">
        <f>'4D Wastewater treatment and dis'!AW203</f>
        <v>3.2292880096339567</v>
      </c>
      <c r="L174" s="771">
        <f t="shared" si="140"/>
        <v>12783.907914949914</v>
      </c>
      <c r="M174" s="772">
        <f t="shared" si="131"/>
        <v>75.979093516354837</v>
      </c>
      <c r="N174" s="771">
        <f t="shared" si="132"/>
        <v>716.37431029705976</v>
      </c>
      <c r="O174" s="773">
        <f t="shared" si="133"/>
        <v>168.10206065180193</v>
      </c>
      <c r="P174" s="771">
        <f t="shared" si="134"/>
        <v>5030.9273143213595</v>
      </c>
      <c r="Q174" s="519">
        <f t="shared" si="135"/>
        <v>12783.907914949914</v>
      </c>
      <c r="R174" s="521">
        <f t="shared" si="136"/>
        <v>792.35340381341462</v>
      </c>
      <c r="S174" s="518">
        <f t="shared" si="137"/>
        <v>168.10206065180193</v>
      </c>
      <c r="T174" s="519">
        <f t="shared" si="138"/>
        <v>5030.9273143213595</v>
      </c>
      <c r="U174" s="519">
        <f t="shared" si="139"/>
        <v>18775.29069373649</v>
      </c>
    </row>
    <row r="175" spans="1:21">
      <c r="A175">
        <f>'Input data'!A128</f>
        <v>2028</v>
      </c>
      <c r="C175" s="314">
        <f>'4A SWD Case 3'!BG98</f>
        <v>585.9442545800041</v>
      </c>
      <c r="D175" s="3">
        <f>'4B Biological treatment '!T228</f>
        <v>3.6351286850243856</v>
      </c>
      <c r="E175" s="178">
        <f>'4B Biological treatment '!U228</f>
        <v>18.175643425121926</v>
      </c>
      <c r="F175" s="178">
        <f>'4B Biological treatment '!W228</f>
        <v>1.0905386055073156</v>
      </c>
      <c r="G175" s="952">
        <f>'4C2 Open-burning '!R167</f>
        <v>16.311774076310044</v>
      </c>
      <c r="H175" s="952">
        <f>'4C2 Open-burning '!Z167</f>
        <v>5.4884125856374997</v>
      </c>
      <c r="I175" s="952">
        <f>'4C2 Open-burning '!AH167</f>
        <v>7.6407966602323005E-2</v>
      </c>
      <c r="J175" s="987">
        <f>'4D Wastewater treatment and dis'!AV204</f>
        <v>198.15572617261648</v>
      </c>
      <c r="K175" s="770">
        <f>'4D Wastewater treatment and dis'!AW204</f>
        <v>3.2610534820454951</v>
      </c>
      <c r="L175" s="771">
        <f t="shared" si="140"/>
        <v>12304.829346180086</v>
      </c>
      <c r="M175" s="772">
        <f t="shared" si="131"/>
        <v>76.337702385512102</v>
      </c>
      <c r="N175" s="771">
        <f t="shared" si="132"/>
        <v>719.75547963482836</v>
      </c>
      <c r="O175" s="773">
        <f t="shared" si="133"/>
        <v>155.25490802141766</v>
      </c>
      <c r="P175" s="771">
        <f t="shared" si="134"/>
        <v>5172.1968290590494</v>
      </c>
      <c r="Q175" s="519">
        <f t="shared" si="135"/>
        <v>12304.829346180086</v>
      </c>
      <c r="R175" s="521">
        <f t="shared" si="136"/>
        <v>796.09318202034046</v>
      </c>
      <c r="S175" s="518">
        <f t="shared" si="137"/>
        <v>155.25490802141766</v>
      </c>
      <c r="T175" s="519">
        <f t="shared" si="138"/>
        <v>5172.1968290590494</v>
      </c>
      <c r="U175" s="519">
        <f t="shared" si="139"/>
        <v>18428.374265280894</v>
      </c>
    </row>
    <row r="176" spans="1:21">
      <c r="A176">
        <f>'Input data'!A129</f>
        <v>2029</v>
      </c>
      <c r="C176" s="314">
        <f>'4A SWD Case 3'!BG99</f>
        <v>563.88393224410083</v>
      </c>
      <c r="D176" s="3">
        <f>'4B Biological treatment '!T229</f>
        <v>3.6527701730745306</v>
      </c>
      <c r="E176" s="178">
        <f>'4B Biological treatment '!U229</f>
        <v>18.263850865372653</v>
      </c>
      <c r="F176" s="178">
        <f>'4B Biological treatment '!W229</f>
        <v>1.0958310519223591</v>
      </c>
      <c r="G176" s="952">
        <f>'4C2 Open-burning '!R168</f>
        <v>14.934737796150557</v>
      </c>
      <c r="H176" s="952">
        <f>'4C2 Open-burning '!Z168</f>
        <v>5.0250820358426109</v>
      </c>
      <c r="I176" s="952">
        <f>'4C2 Open-burning '!AH168</f>
        <v>6.9957623334178959E-2</v>
      </c>
      <c r="J176" s="987">
        <f>'4D Wastewater treatment and dis'!AV205</f>
        <v>204.52099299756838</v>
      </c>
      <c r="K176" s="770">
        <f>'4D Wastewater treatment and dis'!AW205</f>
        <v>3.2931719041504954</v>
      </c>
      <c r="L176" s="771">
        <f t="shared" si="140"/>
        <v>11841.562577126118</v>
      </c>
      <c r="M176" s="772">
        <f t="shared" si="131"/>
        <v>76.708173634565142</v>
      </c>
      <c r="N176" s="771">
        <f t="shared" si="132"/>
        <v>723.24849426875699</v>
      </c>
      <c r="O176" s="773">
        <f t="shared" si="133"/>
        <v>142.14832378244085</v>
      </c>
      <c r="P176" s="771">
        <f t="shared" si="134"/>
        <v>5315.8241432355899</v>
      </c>
      <c r="Q176" s="519">
        <f t="shared" si="135"/>
        <v>11841.562577126118</v>
      </c>
      <c r="R176" s="521">
        <f t="shared" si="136"/>
        <v>799.95666790332211</v>
      </c>
      <c r="S176" s="518">
        <f t="shared" si="137"/>
        <v>142.14832378244085</v>
      </c>
      <c r="T176" s="519">
        <f t="shared" si="138"/>
        <v>5315.8241432355899</v>
      </c>
      <c r="U176" s="519">
        <f t="shared" si="139"/>
        <v>18099.491712047471</v>
      </c>
    </row>
    <row r="177" spans="1:21">
      <c r="A177">
        <f>'Input data'!A130</f>
        <v>2030</v>
      </c>
      <c r="C177" s="314">
        <f>'4A SWD Case 3'!BG100</f>
        <v>542.51161581696499</v>
      </c>
      <c r="D177" s="3">
        <f>'4B Biological treatment '!T230</f>
        <v>3.671028678687021</v>
      </c>
      <c r="E177" s="178">
        <f>'4B Biological treatment '!U230</f>
        <v>18.355143393435103</v>
      </c>
      <c r="F177" s="178">
        <f>'4B Biological treatment '!W230</f>
        <v>1.1013086036061062</v>
      </c>
      <c r="G177" s="952">
        <f>'4C2 Open-burning '!R169</f>
        <v>13.529544259453221</v>
      </c>
      <c r="H177" s="952">
        <f>'4C2 Open-burning '!Z169</f>
        <v>4.5522774312676333</v>
      </c>
      <c r="I177" s="952">
        <f>'4C2 Open-burning '!AH169</f>
        <v>6.3375385233069945E-2</v>
      </c>
      <c r="J177" s="987">
        <f>'4D Wastewater treatment and dis'!AV206</f>
        <v>210.99154590506851</v>
      </c>
      <c r="K177" s="770">
        <f>'4D Wastewater treatment and dis'!AW206</f>
        <v>3.3255928545641762</v>
      </c>
      <c r="L177" s="771">
        <f t="shared" si="140"/>
        <v>11392.743932156265</v>
      </c>
      <c r="M177" s="772">
        <f t="shared" si="131"/>
        <v>77.091602252427435</v>
      </c>
      <c r="N177" s="771">
        <f t="shared" si="132"/>
        <v>726.86367838003002</v>
      </c>
      <c r="O177" s="773">
        <f t="shared" si="133"/>
        <v>128.77373973832522</v>
      </c>
      <c r="P177" s="771">
        <f t="shared" si="134"/>
        <v>5461.7562489213324</v>
      </c>
      <c r="Q177" s="519">
        <f t="shared" si="135"/>
        <v>11392.743932156265</v>
      </c>
      <c r="R177" s="521">
        <f t="shared" si="136"/>
        <v>803.95528063245752</v>
      </c>
      <c r="S177" s="518">
        <f t="shared" si="137"/>
        <v>128.77373973832522</v>
      </c>
      <c r="T177" s="519">
        <f t="shared" si="138"/>
        <v>5461.7562489213324</v>
      </c>
      <c r="U177" s="519">
        <f t="shared" si="139"/>
        <v>17787.229201448379</v>
      </c>
    </row>
    <row r="178" spans="1:21">
      <c r="A178">
        <f>'Input data'!A131</f>
        <v>2031</v>
      </c>
      <c r="C178" s="314">
        <f>'4A SWD Case 3'!BG101</f>
        <v>521.76495945822523</v>
      </c>
      <c r="D178" s="3">
        <f>'4B Biological treatment '!T231</f>
        <v>3.6929523555237225</v>
      </c>
      <c r="E178" s="178">
        <f>'4B Biological treatment '!U231</f>
        <v>18.464761777618612</v>
      </c>
      <c r="F178" s="178">
        <f>'4B Biological treatment '!W231</f>
        <v>1.1078857066571166</v>
      </c>
      <c r="G178" s="952">
        <f>'4C2 Open-burning '!R170</f>
        <v>11.932133633461715</v>
      </c>
      <c r="H178" s="952">
        <f>'4C2 Open-burning '!Z170</f>
        <v>4.014797660942973</v>
      </c>
      <c r="I178" s="952">
        <f>'4C2 Open-burning '!AH170</f>
        <v>5.5892759665185338E-2</v>
      </c>
      <c r="J178" s="987">
        <f>'4D Wastewater treatment and dis'!AV207</f>
        <v>212.79256841014094</v>
      </c>
      <c r="K178" s="770">
        <f>'4D Wastewater treatment and dis'!AW207</f>
        <v>3.3539800941954407</v>
      </c>
      <c r="L178" s="771">
        <f t="shared" si="140"/>
        <v>10957.06414862273</v>
      </c>
      <c r="M178" s="772">
        <f t="shared" si="131"/>
        <v>77.551999465998165</v>
      </c>
      <c r="N178" s="771">
        <f t="shared" si="132"/>
        <v>731.20456639369695</v>
      </c>
      <c r="O178" s="773">
        <f t="shared" si="133"/>
        <v>113.5696400094716</v>
      </c>
      <c r="P178" s="771">
        <f t="shared" si="134"/>
        <v>5508.3777658135459</v>
      </c>
      <c r="Q178" s="519">
        <f t="shared" si="135"/>
        <v>10957.06414862273</v>
      </c>
      <c r="R178" s="521">
        <f t="shared" si="136"/>
        <v>808.75656585969512</v>
      </c>
      <c r="S178" s="518">
        <f t="shared" si="137"/>
        <v>113.5696400094716</v>
      </c>
      <c r="T178" s="519">
        <f t="shared" si="138"/>
        <v>5508.3777658135459</v>
      </c>
      <c r="U178" s="519">
        <f t="shared" si="139"/>
        <v>17387.768120305445</v>
      </c>
    </row>
    <row r="179" spans="1:21">
      <c r="A179">
        <f>'Input data'!A132</f>
        <v>2032</v>
      </c>
      <c r="C179" s="314">
        <f>'4A SWD Case 3'!BG102</f>
        <v>501.45854113269417</v>
      </c>
      <c r="D179" s="3">
        <f>'4B Biological treatment '!T232</f>
        <v>3.713846221358482</v>
      </c>
      <c r="E179" s="178">
        <f>'4B Biological treatment '!U232</f>
        <v>18.569231106792408</v>
      </c>
      <c r="F179" s="178">
        <f>'4B Biological treatment '!W232</f>
        <v>1.1141538664075443</v>
      </c>
      <c r="G179" s="952">
        <f>'4C2 Open-burning '!R171</f>
        <v>10.344640301197273</v>
      </c>
      <c r="H179" s="952">
        <f>'4C2 Open-burning '!Z171</f>
        <v>3.4806547563358281</v>
      </c>
      <c r="I179" s="952">
        <f>'4C2 Open-burning '!AH171</f>
        <v>4.8456588900091524E-2</v>
      </c>
      <c r="J179" s="987">
        <f>'4D Wastewater treatment and dis'!AV208</f>
        <v>214.6095857864839</v>
      </c>
      <c r="K179" s="770">
        <f>'4D Wastewater treatment and dis'!AW208</f>
        <v>3.3826194407506049</v>
      </c>
      <c r="L179" s="771">
        <f t="shared" si="140"/>
        <v>10530.629363786578</v>
      </c>
      <c r="M179" s="772">
        <f t="shared" si="131"/>
        <v>77.990770648528127</v>
      </c>
      <c r="N179" s="771">
        <f t="shared" si="132"/>
        <v>735.34155182897928</v>
      </c>
      <c r="O179" s="773">
        <f t="shared" si="133"/>
        <v>98.459932743278046</v>
      </c>
      <c r="P179" s="771">
        <f t="shared" si="134"/>
        <v>5555.4133281488503</v>
      </c>
      <c r="Q179" s="519">
        <f t="shared" si="135"/>
        <v>10530.629363786578</v>
      </c>
      <c r="R179" s="521">
        <f t="shared" si="136"/>
        <v>813.33232247750743</v>
      </c>
      <c r="S179" s="518">
        <f t="shared" si="137"/>
        <v>98.459932743278046</v>
      </c>
      <c r="T179" s="519">
        <f t="shared" si="138"/>
        <v>5555.4133281488503</v>
      </c>
      <c r="U179" s="519">
        <f t="shared" si="139"/>
        <v>16997.834947156214</v>
      </c>
    </row>
    <row r="180" spans="1:21">
      <c r="A180">
        <f>'Input data'!A133</f>
        <v>2033</v>
      </c>
      <c r="C180" s="314">
        <f>'4A SWD Case 3'!BG103</f>
        <v>481.56859267870584</v>
      </c>
      <c r="D180" s="3">
        <f>'4B Biological treatment '!T233</f>
        <v>3.7370517304549842</v>
      </c>
      <c r="E180" s="178">
        <f>'4B Biological treatment '!U233</f>
        <v>18.685258652274921</v>
      </c>
      <c r="F180" s="178">
        <f>'4B Biological treatment '!W233</f>
        <v>1.1211155191364952</v>
      </c>
      <c r="G180" s="952">
        <f>'4C2 Open-burning '!R172</f>
        <v>10.314004646981584</v>
      </c>
      <c r="H180" s="952">
        <f>'4C2 Open-burning '!Z172</f>
        <v>3.4703467966142174</v>
      </c>
      <c r="I180" s="952">
        <f>'4C2 Open-burning '!AH172</f>
        <v>4.8313084702865522E-2</v>
      </c>
      <c r="J180" s="987">
        <f>'4D Wastewater treatment and dis'!AV209</f>
        <v>216.43939905984345</v>
      </c>
      <c r="K180" s="770">
        <f>'4D Wastewater treatment and dis'!AW209</f>
        <v>3.4114604728448907</v>
      </c>
      <c r="L180" s="771">
        <f t="shared" si="140"/>
        <v>10112.940446252822</v>
      </c>
      <c r="M180" s="772">
        <f t="shared" si="131"/>
        <v>78.478086339554665</v>
      </c>
      <c r="N180" s="771">
        <f t="shared" si="132"/>
        <v>739.93624263008689</v>
      </c>
      <c r="O180" s="773">
        <f t="shared" si="133"/>
        <v>98.168343633768458</v>
      </c>
      <c r="P180" s="771">
        <f t="shared" si="134"/>
        <v>5602.7801268386283</v>
      </c>
      <c r="Q180" s="519">
        <f t="shared" si="135"/>
        <v>10112.940446252822</v>
      </c>
      <c r="R180" s="521">
        <f t="shared" si="136"/>
        <v>818.41432896964159</v>
      </c>
      <c r="S180" s="518">
        <f t="shared" si="137"/>
        <v>98.168343633768458</v>
      </c>
      <c r="T180" s="519">
        <f t="shared" si="138"/>
        <v>5602.7801268386283</v>
      </c>
      <c r="U180" s="519">
        <f t="shared" si="139"/>
        <v>16632.30324569486</v>
      </c>
    </row>
    <row r="181" spans="1:21">
      <c r="A181">
        <f>'Input data'!A134</f>
        <v>2034</v>
      </c>
      <c r="C181" s="314">
        <f>'4A SWD Case 3'!BG104</f>
        <v>462.6602653867655</v>
      </c>
      <c r="D181" s="3">
        <f>'4B Biological treatment '!T234</f>
        <v>3.7618649613688642</v>
      </c>
      <c r="E181" s="178">
        <f>'4B Biological treatment '!U234</f>
        <v>18.809324806844323</v>
      </c>
      <c r="F181" s="178">
        <f>'4B Biological treatment '!W234</f>
        <v>1.1285594884106591</v>
      </c>
      <c r="G181" s="952">
        <f>'4C2 Open-burning '!R173</f>
        <v>10.283748510657539</v>
      </c>
      <c r="H181" s="952">
        <f>'4C2 Open-burning '!Z173</f>
        <v>3.4601665330440619</v>
      </c>
      <c r="I181" s="952">
        <f>'4C2 Open-burning '!AH173</f>
        <v>4.8171358251594937E-2</v>
      </c>
      <c r="J181" s="987">
        <f>'4D Wastewater treatment and dis'!AV210</f>
        <v>218.28840617872763</v>
      </c>
      <c r="K181" s="770">
        <f>'4D Wastewater treatment and dis'!AW210</f>
        <v>3.4406040332478574</v>
      </c>
      <c r="L181" s="771">
        <f t="shared" si="140"/>
        <v>9715.8655731220751</v>
      </c>
      <c r="M181" s="772">
        <f t="shared" si="131"/>
        <v>78.99916418874615</v>
      </c>
      <c r="N181" s="771">
        <f t="shared" si="132"/>
        <v>744.84926235103512</v>
      </c>
      <c r="O181" s="773">
        <f t="shared" si="133"/>
        <v>97.880366762577253</v>
      </c>
      <c r="P181" s="771">
        <f t="shared" si="134"/>
        <v>5650.6437800601161</v>
      </c>
      <c r="Q181" s="519">
        <f t="shared" si="135"/>
        <v>9715.8655731220751</v>
      </c>
      <c r="R181" s="521">
        <f t="shared" si="136"/>
        <v>823.84842653978126</v>
      </c>
      <c r="S181" s="518">
        <f t="shared" si="137"/>
        <v>97.880366762577253</v>
      </c>
      <c r="T181" s="519">
        <f t="shared" si="138"/>
        <v>5650.6437800601161</v>
      </c>
      <c r="U181" s="519">
        <f t="shared" si="139"/>
        <v>16288.238146484551</v>
      </c>
    </row>
    <row r="182" spans="1:21">
      <c r="A182">
        <f>'Input data'!A135</f>
        <v>2035</v>
      </c>
      <c r="C182" s="314">
        <f>'4A SWD Case 3'!BG105</f>
        <v>444.68572791867098</v>
      </c>
      <c r="D182" s="3">
        <f>'4B Biological treatment '!T235</f>
        <v>3.7883858535644457</v>
      </c>
      <c r="E182" s="178">
        <f>'4B Biological treatment '!U235</f>
        <v>18.941929267822228</v>
      </c>
      <c r="F182" s="178">
        <f>'4B Biological treatment '!W235</f>
        <v>1.1365157560693335</v>
      </c>
      <c r="G182" s="952">
        <f>'4C2 Open-burning '!R174</f>
        <v>10.253970849261583</v>
      </c>
      <c r="H182" s="952">
        <f>'4C2 Open-burning '!Z174</f>
        <v>3.4501472616385209</v>
      </c>
      <c r="I182" s="952">
        <f>'4C2 Open-burning '!AH174</f>
        <v>4.8031873082980334E-2</v>
      </c>
      <c r="J182" s="987">
        <f>'4D Wastewater treatment and dis'!AV211</f>
        <v>220.15020919462836</v>
      </c>
      <c r="K182" s="770">
        <f>'4D Wastewater treatment and dis'!AW211</f>
        <v>3.4699492791899456</v>
      </c>
      <c r="L182" s="771">
        <f t="shared" si="140"/>
        <v>9338.4002862920897</v>
      </c>
      <c r="M182" s="772">
        <f t="shared" si="131"/>
        <v>79.556102924853363</v>
      </c>
      <c r="N182" s="771">
        <f t="shared" si="132"/>
        <v>750.10039900576021</v>
      </c>
      <c r="O182" s="773">
        <f t="shared" si="133"/>
        <v>97.596943999394412</v>
      </c>
      <c r="P182" s="771">
        <f t="shared" si="134"/>
        <v>5698.8386696360794</v>
      </c>
      <c r="Q182" s="519">
        <f t="shared" si="135"/>
        <v>9338.4002862920897</v>
      </c>
      <c r="R182" s="521">
        <f t="shared" si="136"/>
        <v>829.65650193061356</v>
      </c>
      <c r="S182" s="518">
        <f t="shared" si="137"/>
        <v>97.596943999394412</v>
      </c>
      <c r="T182" s="519">
        <f t="shared" si="138"/>
        <v>5698.8386696360794</v>
      </c>
      <c r="U182" s="519">
        <f t="shared" si="139"/>
        <v>15964.492401858179</v>
      </c>
    </row>
    <row r="183" spans="1:21">
      <c r="A183">
        <f>'Input data'!A136</f>
        <v>2036</v>
      </c>
      <c r="C183" s="314">
        <f>'4A SWD Case 3'!BG106</f>
        <v>427.5994307413668</v>
      </c>
      <c r="D183" s="3">
        <f>'4B Biological treatment '!T236</f>
        <v>3.8156910532952617</v>
      </c>
      <c r="E183" s="178">
        <f>'4B Biological treatment '!U236</f>
        <v>19.078455266476308</v>
      </c>
      <c r="F183" s="178">
        <f>'4B Biological treatment '!W236</f>
        <v>1.1447073159885783</v>
      </c>
      <c r="G183" s="952">
        <f>'4C2 Open-burning '!R175</f>
        <v>10.228723794654845</v>
      </c>
      <c r="H183" s="952">
        <f>'4C2 Open-burning '!Z175</f>
        <v>3.4416524007113378</v>
      </c>
      <c r="I183" s="952">
        <f>'4C2 Open-burning '!AH175</f>
        <v>4.7913610281143208E-2</v>
      </c>
      <c r="J183" s="987">
        <f>'4D Wastewater treatment and dis'!AV212</f>
        <v>221.76249221870739</v>
      </c>
      <c r="K183" s="770">
        <f>'4D Wastewater treatment and dis'!AW212</f>
        <v>3.4953616571191763</v>
      </c>
      <c r="L183" s="771">
        <f t="shared" si="140"/>
        <v>8979.588045568702</v>
      </c>
      <c r="M183" s="772">
        <f t="shared" si="131"/>
        <v>80.129512119200498</v>
      </c>
      <c r="N183" s="771">
        <f t="shared" si="132"/>
        <v>755.50682855246168</v>
      </c>
      <c r="O183" s="773">
        <f t="shared" si="133"/>
        <v>97.35664339674733</v>
      </c>
      <c r="P183" s="771">
        <f t="shared" si="134"/>
        <v>5740.5744502998004</v>
      </c>
      <c r="Q183" s="519">
        <f t="shared" si="135"/>
        <v>8979.588045568702</v>
      </c>
      <c r="R183" s="521">
        <f t="shared" si="136"/>
        <v>835.6363406716622</v>
      </c>
      <c r="S183" s="518">
        <f t="shared" si="137"/>
        <v>97.35664339674733</v>
      </c>
      <c r="T183" s="519">
        <f t="shared" si="138"/>
        <v>5740.5744502998004</v>
      </c>
      <c r="U183" s="519">
        <f t="shared" si="139"/>
        <v>15653.155479936913</v>
      </c>
    </row>
    <row r="184" spans="1:21">
      <c r="A184">
        <f>'Input data'!A137</f>
        <v>2037</v>
      </c>
      <c r="C184" s="314">
        <f>'4A SWD Case 3'!BG107</f>
        <v>411.35614639572873</v>
      </c>
      <c r="D184" s="3">
        <f>'4B Biological treatment '!T237</f>
        <v>3.844158592448101</v>
      </c>
      <c r="E184" s="178">
        <f>'4B Biological treatment '!U237</f>
        <v>19.220792962240505</v>
      </c>
      <c r="F184" s="178">
        <f>'4B Biological treatment '!W237</f>
        <v>1.1532475777344302</v>
      </c>
      <c r="G184" s="952">
        <f>'4C2 Open-burning '!R176</f>
        <v>10.20381658806048</v>
      </c>
      <c r="H184" s="952">
        <f>'4C2 Open-burning '!Z176</f>
        <v>3.4332718882357431</v>
      </c>
      <c r="I184" s="952">
        <f>'4C2 Open-burning '!AH176</f>
        <v>4.7796939402750933E-2</v>
      </c>
      <c r="J184" s="987">
        <f>'4D Wastewater treatment and dis'!AV213</f>
        <v>223.38437216554874</v>
      </c>
      <c r="K184" s="770">
        <f>'4D Wastewater treatment and dis'!AW213</f>
        <v>3.5209252992027475</v>
      </c>
      <c r="L184" s="771">
        <f t="shared" si="140"/>
        <v>8638.479074310304</v>
      </c>
      <c r="M184" s="772">
        <f t="shared" si="131"/>
        <v>80.727330441410118</v>
      </c>
      <c r="N184" s="771">
        <f t="shared" si="132"/>
        <v>761.14340130472397</v>
      </c>
      <c r="O184" s="773">
        <f t="shared" si="133"/>
        <v>97.119577455863862</v>
      </c>
      <c r="P184" s="771">
        <f t="shared" si="134"/>
        <v>5782.5586582293754</v>
      </c>
      <c r="Q184" s="519">
        <f t="shared" si="135"/>
        <v>8638.479074310304</v>
      </c>
      <c r="R184" s="521">
        <f t="shared" si="136"/>
        <v>841.87073174613408</v>
      </c>
      <c r="S184" s="518">
        <f t="shared" si="137"/>
        <v>97.119577455863862</v>
      </c>
      <c r="T184" s="519">
        <f t="shared" si="138"/>
        <v>5782.5586582293754</v>
      </c>
      <c r="U184" s="519">
        <f t="shared" si="139"/>
        <v>15360.028041741676</v>
      </c>
    </row>
    <row r="185" spans="1:21">
      <c r="A185">
        <f>'Input data'!A138</f>
        <v>2038</v>
      </c>
      <c r="C185" s="314">
        <f>'4A SWD Case 3'!BG108</f>
        <v>395.91477594048428</v>
      </c>
      <c r="D185" s="3">
        <f>'4B Biological treatment '!T238</f>
        <v>3.8730606510110417</v>
      </c>
      <c r="E185" s="178">
        <f>'4B Biological treatment '!U238</f>
        <v>19.36530325505521</v>
      </c>
      <c r="F185" s="178">
        <f>'4B Biological treatment '!W238</f>
        <v>1.1619181953033124</v>
      </c>
      <c r="G185" s="952">
        <f>'4C2 Open-burning '!R177</f>
        <v>10.179148263724461</v>
      </c>
      <c r="H185" s="952">
        <f>'4C2 Open-burning '!Z177</f>
        <v>3.4249717523266137</v>
      </c>
      <c r="I185" s="952">
        <f>'4C2 Open-burning '!AH177</f>
        <v>4.76813875018244E-2</v>
      </c>
      <c r="J185" s="987">
        <f>'4D Wastewater treatment and dis'!AV214</f>
        <v>225.02224698366075</v>
      </c>
      <c r="K185" s="770">
        <f>'4D Wastewater treatment and dis'!AW214</f>
        <v>3.5467410482102202</v>
      </c>
      <c r="L185" s="771">
        <f t="shared" si="140"/>
        <v>8314.2102947501699</v>
      </c>
      <c r="M185" s="772">
        <f t="shared" si="131"/>
        <v>81.33427367123187</v>
      </c>
      <c r="N185" s="771">
        <f t="shared" si="132"/>
        <v>766.86600890018622</v>
      </c>
      <c r="O185" s="773">
        <f t="shared" si="133"/>
        <v>96.884785188148896</v>
      </c>
      <c r="P185" s="771">
        <f t="shared" si="134"/>
        <v>5824.9569116020448</v>
      </c>
      <c r="Q185" s="519">
        <f t="shared" si="135"/>
        <v>8314.2102947501699</v>
      </c>
      <c r="R185" s="521">
        <f t="shared" si="136"/>
        <v>848.20028257141803</v>
      </c>
      <c r="S185" s="518">
        <f t="shared" si="137"/>
        <v>96.884785188148896</v>
      </c>
      <c r="T185" s="519">
        <f t="shared" si="138"/>
        <v>5824.9569116020448</v>
      </c>
      <c r="U185" s="519">
        <f t="shared" si="139"/>
        <v>15084.252274111783</v>
      </c>
    </row>
    <row r="186" spans="1:21">
      <c r="A186">
        <f>'Input data'!A139</f>
        <v>2039</v>
      </c>
      <c r="C186" s="314">
        <f>'4A SWD Case 3'!BG109</f>
        <v>381.23626746472752</v>
      </c>
      <c r="D186" s="3">
        <f>'4B Biological treatment '!T239</f>
        <v>3.9031511201606124</v>
      </c>
      <c r="E186" s="178">
        <f>'4B Biological treatment '!U239</f>
        <v>19.515755600803061</v>
      </c>
      <c r="F186" s="178">
        <f>'4B Biological treatment '!W239</f>
        <v>1.1709453360481836</v>
      </c>
      <c r="G186" s="952">
        <f>'4C2 Open-burning '!R178</f>
        <v>10.154812472932907</v>
      </c>
      <c r="H186" s="952">
        <f>'4C2 Open-burning '!Z178</f>
        <v>3.4167835037745573</v>
      </c>
      <c r="I186" s="952">
        <f>'4C2 Open-burning '!AH178</f>
        <v>4.7567393261753188E-2</v>
      </c>
      <c r="J186" s="987">
        <f>'4D Wastewater treatment and dis'!AV215</f>
        <v>226.66971872453522</v>
      </c>
      <c r="K186" s="770">
        <f>'4D Wastewater treatment and dis'!AW215</f>
        <v>3.5727080613720332</v>
      </c>
      <c r="L186" s="771">
        <f t="shared" si="140"/>
        <v>8005.9616167592776</v>
      </c>
      <c r="M186" s="772">
        <f t="shared" si="131"/>
        <v>81.966173523372859</v>
      </c>
      <c r="N186" s="771">
        <f t="shared" si="132"/>
        <v>772.82392179180124</v>
      </c>
      <c r="O186" s="773">
        <f t="shared" si="133"/>
        <v>96.653157963342096</v>
      </c>
      <c r="P186" s="771">
        <f t="shared" si="134"/>
        <v>5867.6035922405699</v>
      </c>
      <c r="Q186" s="519">
        <f t="shared" si="135"/>
        <v>8005.9616167592776</v>
      </c>
      <c r="R186" s="521">
        <f t="shared" si="136"/>
        <v>854.79009531517409</v>
      </c>
      <c r="S186" s="518">
        <f t="shared" si="137"/>
        <v>96.653157963342096</v>
      </c>
      <c r="T186" s="519">
        <f t="shared" si="138"/>
        <v>5867.6035922405699</v>
      </c>
      <c r="U186" s="519">
        <f t="shared" si="139"/>
        <v>14825.008462278365</v>
      </c>
    </row>
    <row r="187" spans="1:21">
      <c r="A187">
        <f>'Input data'!A140</f>
        <v>2040</v>
      </c>
      <c r="C187" s="314">
        <f>'4A SWD Case 3'!BG110</f>
        <v>367.2834245854902</v>
      </c>
      <c r="D187" s="3">
        <f>'4B Biological treatment '!T240</f>
        <v>3.9350839516090153</v>
      </c>
      <c r="E187" s="178">
        <f>'4B Biological treatment '!U240</f>
        <v>19.675419758045074</v>
      </c>
      <c r="F187" s="178">
        <f>'4B Biological treatment '!W240</f>
        <v>1.1805251854827044</v>
      </c>
      <c r="G187" s="952">
        <f>'4C2 Open-burning '!R179</f>
        <v>10.130803750690211</v>
      </c>
      <c r="H187" s="952">
        <f>'4C2 Open-burning '!Z179</f>
        <v>3.4087053037758679</v>
      </c>
      <c r="I187" s="952">
        <f>'4C2 Open-burning '!AH179</f>
        <v>4.7454931083286134E-2</v>
      </c>
      <c r="J187" s="987">
        <f>'4D Wastewater treatment and dis'!AV216</f>
        <v>228.32678738817191</v>
      </c>
      <c r="K187" s="770">
        <f>'4D Wastewater treatment and dis'!AW216</f>
        <v>3.5988263386881876</v>
      </c>
      <c r="L187" s="771">
        <f t="shared" si="140"/>
        <v>7712.9519162952938</v>
      </c>
      <c r="M187" s="772">
        <f t="shared" si="131"/>
        <v>82.636762983789325</v>
      </c>
      <c r="N187" s="771">
        <f t="shared" si="132"/>
        <v>779.14662241858491</v>
      </c>
      <c r="O187" s="773">
        <f t="shared" si="133"/>
        <v>96.424643765802131</v>
      </c>
      <c r="P187" s="771">
        <f t="shared" si="134"/>
        <v>5910.4987001449481</v>
      </c>
      <c r="Q187" s="519">
        <f t="shared" si="135"/>
        <v>7712.9519162952938</v>
      </c>
      <c r="R187" s="521">
        <f t="shared" si="136"/>
        <v>861.78338540237428</v>
      </c>
      <c r="S187" s="518">
        <f t="shared" si="137"/>
        <v>96.424643765802131</v>
      </c>
      <c r="T187" s="519">
        <f t="shared" si="138"/>
        <v>5910.4987001449481</v>
      </c>
      <c r="U187" s="519">
        <f t="shared" si="139"/>
        <v>14581.658645608419</v>
      </c>
    </row>
    <row r="188" spans="1:21">
      <c r="A188">
        <f>'Input data'!A141</f>
        <v>2041</v>
      </c>
      <c r="C188" s="314">
        <f>'4A SWD Case 3'!BG111</f>
        <v>354.27406440851462</v>
      </c>
      <c r="D188" s="3">
        <f>'4B Biological treatment '!T241</f>
        <v>3.9683312042729773</v>
      </c>
      <c r="E188" s="178">
        <f>'4B Biological treatment '!U241</f>
        <v>19.841656021364887</v>
      </c>
      <c r="F188" s="178">
        <f>'4B Biological treatment '!W241</f>
        <v>1.190499361281893</v>
      </c>
      <c r="G188" s="952">
        <f>'4C2 Open-burning '!R180</f>
        <v>10.11058891527121</v>
      </c>
      <c r="H188" s="952">
        <f>'4C2 Open-burning '!Z180</f>
        <v>3.4019036305420918</v>
      </c>
      <c r="I188" s="952">
        <f>'4C2 Open-burning '!AH180</f>
        <v>4.7360240311924262E-2</v>
      </c>
      <c r="J188" s="987">
        <f>'4D Wastewater treatment and dis'!AV217</f>
        <v>229.7471319570034</v>
      </c>
      <c r="K188" s="770">
        <f>'4D Wastewater treatment and dis'!AW217</f>
        <v>3.6212134335306052</v>
      </c>
      <c r="L188" s="771">
        <f t="shared" si="140"/>
        <v>7439.7553525788071</v>
      </c>
      <c r="M188" s="772">
        <f t="shared" si="131"/>
        <v>83.33495528973252</v>
      </c>
      <c r="N188" s="771">
        <f t="shared" si="132"/>
        <v>785.72957844604946</v>
      </c>
      <c r="O188" s="773">
        <f t="shared" si="133"/>
        <v>96.232239653351655</v>
      </c>
      <c r="P188" s="771">
        <f t="shared" si="134"/>
        <v>5947.2659354915595</v>
      </c>
      <c r="Q188" s="519">
        <f t="shared" si="135"/>
        <v>7439.7553525788071</v>
      </c>
      <c r="R188" s="521">
        <f t="shared" si="136"/>
        <v>869.06453373578199</v>
      </c>
      <c r="S188" s="518">
        <f t="shared" si="137"/>
        <v>96.232239653351655</v>
      </c>
      <c r="T188" s="519">
        <f t="shared" si="138"/>
        <v>5947.2659354915595</v>
      </c>
      <c r="U188" s="519">
        <f t="shared" si="139"/>
        <v>14352.3180614595</v>
      </c>
    </row>
    <row r="189" spans="1:21">
      <c r="A189">
        <f>'Input data'!A142</f>
        <v>2042</v>
      </c>
      <c r="C189" s="314">
        <f>'4A SWD Case 3'!BG112</f>
        <v>342.08676457236118</v>
      </c>
      <c r="D189" s="3">
        <f>'4B Biological treatment '!T242</f>
        <v>4.0029971628109227</v>
      </c>
      <c r="E189" s="178">
        <f>'4B Biological treatment '!U242</f>
        <v>20.014985814054612</v>
      </c>
      <c r="F189" s="178">
        <f>'4B Biological treatment '!W242</f>
        <v>1.2008991488432765</v>
      </c>
      <c r="G189" s="952">
        <f>'4C2 Open-burning '!R181</f>
        <v>10.09061267071135</v>
      </c>
      <c r="H189" s="952">
        <f>'4C2 Open-burning '!Z181</f>
        <v>3.3951822358278685</v>
      </c>
      <c r="I189" s="952">
        <f>'4C2 Open-burning '!AH181</f>
        <v>4.7266667153049627E-2</v>
      </c>
      <c r="J189" s="987">
        <f>'4D Wastewater treatment and dis'!AV218</f>
        <v>231.17387447434314</v>
      </c>
      <c r="K189" s="770">
        <f>'4D Wastewater treatment and dis'!AW218</f>
        <v>3.643701371142583</v>
      </c>
      <c r="L189" s="771">
        <f t="shared" si="140"/>
        <v>7183.822056019585</v>
      </c>
      <c r="M189" s="772">
        <f t="shared" si="131"/>
        <v>84.062940419029374</v>
      </c>
      <c r="N189" s="771">
        <f t="shared" si="132"/>
        <v>792.59343823656263</v>
      </c>
      <c r="O189" s="773">
        <f t="shared" si="133"/>
        <v>96.042106440541971</v>
      </c>
      <c r="P189" s="771">
        <f t="shared" si="134"/>
        <v>5984.1987890154069</v>
      </c>
      <c r="Q189" s="519">
        <f t="shared" si="135"/>
        <v>7183.822056019585</v>
      </c>
      <c r="R189" s="521">
        <f t="shared" si="136"/>
        <v>876.65637865559199</v>
      </c>
      <c r="S189" s="518">
        <f t="shared" si="137"/>
        <v>96.042106440541971</v>
      </c>
      <c r="T189" s="519">
        <f t="shared" si="138"/>
        <v>5984.1987890154069</v>
      </c>
      <c r="U189" s="519">
        <f t="shared" si="139"/>
        <v>14140.719330131125</v>
      </c>
    </row>
    <row r="190" spans="1:21">
      <c r="A190">
        <f>'Input data'!A143</f>
        <v>2043</v>
      </c>
      <c r="C190" s="314">
        <f>'4A SWD Case 3'!BG113</f>
        <v>330.6860052940624</v>
      </c>
      <c r="D190" s="3">
        <f>'4B Biological treatment '!T243</f>
        <v>4.0389949233408302</v>
      </c>
      <c r="E190" s="178">
        <f>'4B Biological treatment '!U243</f>
        <v>20.194974616704151</v>
      </c>
      <c r="F190" s="178">
        <f>'4B Biological treatment '!W243</f>
        <v>1.211698477002249</v>
      </c>
      <c r="G190" s="952">
        <f>'4C2 Open-burning '!R182</f>
        <v>10.070827702379548</v>
      </c>
      <c r="H190" s="952">
        <f>'4C2 Open-burning '!Z182</f>
        <v>3.3885251997083952</v>
      </c>
      <c r="I190" s="952">
        <f>'4C2 Open-burning '!AH182</f>
        <v>4.7173989974439126E-2</v>
      </c>
      <c r="J190" s="987">
        <f>'4D Wastewater treatment and dis'!AV219</f>
        <v>232.61021391444527</v>
      </c>
      <c r="K190" s="770">
        <f>'4D Wastewater treatment and dis'!AW219</f>
        <v>3.6663405729089016</v>
      </c>
      <c r="L190" s="771">
        <f t="shared" si="140"/>
        <v>6944.4061111753108</v>
      </c>
      <c r="M190" s="772">
        <f t="shared" si="131"/>
        <v>84.818893390157427</v>
      </c>
      <c r="N190" s="771">
        <f t="shared" si="132"/>
        <v>799.7209948214844</v>
      </c>
      <c r="O190" s="773">
        <f t="shared" si="133"/>
        <v>95.85379378833197</v>
      </c>
      <c r="P190" s="771">
        <f t="shared" si="134"/>
        <v>6021.38006980511</v>
      </c>
      <c r="Q190" s="519">
        <f t="shared" si="135"/>
        <v>6944.4061111753108</v>
      </c>
      <c r="R190" s="521">
        <f t="shared" si="136"/>
        <v>884.53988821164182</v>
      </c>
      <c r="S190" s="518">
        <f t="shared" si="137"/>
        <v>95.85379378833197</v>
      </c>
      <c r="T190" s="519">
        <f t="shared" si="138"/>
        <v>6021.38006980511</v>
      </c>
      <c r="U190" s="519">
        <f t="shared" si="139"/>
        <v>13946.179862980394</v>
      </c>
    </row>
    <row r="191" spans="1:21">
      <c r="A191">
        <f>'Input data'!A144</f>
        <v>2044</v>
      </c>
      <c r="C191" s="314">
        <f>'4A SWD Case 3'!BG114</f>
        <v>320.0378244252089</v>
      </c>
      <c r="D191" s="3">
        <f>'4B Biological treatment '!T244</f>
        <v>4.0765178470001979</v>
      </c>
      <c r="E191" s="178">
        <f>'4B Biological treatment '!U244</f>
        <v>20.382589235000989</v>
      </c>
      <c r="F191" s="178">
        <f>'4B Biological treatment '!W244</f>
        <v>1.2229553541000593</v>
      </c>
      <c r="G191" s="952">
        <f>'4C2 Open-burning '!R183</f>
        <v>10.051275583241116</v>
      </c>
      <c r="H191" s="952">
        <f>'4C2 Open-burning '!Z183</f>
        <v>3.3819465102137247</v>
      </c>
      <c r="I191" s="952">
        <f>'4C2 Open-burning '!AH183</f>
        <v>4.7082403513080281E-2</v>
      </c>
      <c r="J191" s="987">
        <f>'4D Wastewater treatment and dis'!AV220</f>
        <v>234.05295130305572</v>
      </c>
      <c r="K191" s="770">
        <f>'4D Wastewater treatment and dis'!AW220</f>
        <v>3.6890806174447812</v>
      </c>
      <c r="L191" s="771">
        <f t="shared" si="140"/>
        <v>6720.7943129293872</v>
      </c>
      <c r="M191" s="772">
        <f t="shared" si="131"/>
        <v>85.606874787004159</v>
      </c>
      <c r="N191" s="771">
        <f t="shared" si="132"/>
        <v>807.15053370603914</v>
      </c>
      <c r="O191" s="773">
        <f t="shared" si="133"/>
        <v>95.667697386784226</v>
      </c>
      <c r="P191" s="771">
        <f t="shared" si="134"/>
        <v>6058.7269687720527</v>
      </c>
      <c r="Q191" s="519">
        <f t="shared" si="135"/>
        <v>6720.7943129293872</v>
      </c>
      <c r="R191" s="521">
        <f t="shared" si="136"/>
        <v>892.75740849304327</v>
      </c>
      <c r="S191" s="518">
        <f t="shared" si="137"/>
        <v>95.667697386784226</v>
      </c>
      <c r="T191" s="519">
        <f t="shared" si="138"/>
        <v>6058.7269687720527</v>
      </c>
      <c r="U191" s="519">
        <f t="shared" si="139"/>
        <v>13767.946387581267</v>
      </c>
    </row>
    <row r="192" spans="1:21">
      <c r="A192">
        <f>'Input data'!A145</f>
        <v>2045</v>
      </c>
      <c r="C192" s="314">
        <f>'4A SWD Case 3'!BG115</f>
        <v>310.10975964267737</v>
      </c>
      <c r="D192" s="3">
        <f>'4B Biological treatment '!T245</f>
        <v>4.1163697946977118</v>
      </c>
      <c r="E192" s="178">
        <f>'4B Biological treatment '!U245</f>
        <v>20.581848973488558</v>
      </c>
      <c r="F192" s="178">
        <f>'4B Biological treatment '!W245</f>
        <v>1.2349109384093133</v>
      </c>
      <c r="G192" s="952">
        <f>'4C2 Open-burning '!R184</f>
        <v>10.031868174032496</v>
      </c>
      <c r="H192" s="952">
        <f>'4C2 Open-burning '!Z184</f>
        <v>3.3754165111800871</v>
      </c>
      <c r="I192" s="952">
        <f>'4C2 Open-burning '!AH184</f>
        <v>4.6991494905119391E-2</v>
      </c>
      <c r="J192" s="987">
        <f>'4D Wastewater treatment and dis'!AV221</f>
        <v>235.50848458868253</v>
      </c>
      <c r="K192" s="770">
        <f>'4D Wastewater treatment and dis'!AW221</f>
        <v>3.7120223475197802</v>
      </c>
      <c r="L192" s="771">
        <f t="shared" si="140"/>
        <v>6512.3049524962253</v>
      </c>
      <c r="M192" s="772">
        <f t="shared" si="131"/>
        <v>86.443765688651951</v>
      </c>
      <c r="N192" s="771">
        <f t="shared" si="132"/>
        <v>815.04121935014678</v>
      </c>
      <c r="O192" s="773">
        <f t="shared" si="133"/>
        <v>95.482978329401334</v>
      </c>
      <c r="P192" s="771">
        <f t="shared" si="134"/>
        <v>6096.4051040934646</v>
      </c>
      <c r="Q192" s="519">
        <f t="shared" si="135"/>
        <v>6512.3049524962253</v>
      </c>
      <c r="R192" s="521">
        <f t="shared" si="136"/>
        <v>901.48498503879875</v>
      </c>
      <c r="S192" s="518">
        <f t="shared" si="137"/>
        <v>95.482978329401334</v>
      </c>
      <c r="T192" s="519">
        <f t="shared" si="138"/>
        <v>6096.4051040934646</v>
      </c>
      <c r="U192" s="519">
        <f t="shared" si="139"/>
        <v>13605.67801995789</v>
      </c>
    </row>
    <row r="193" spans="1:21">
      <c r="A193">
        <f>'Input data'!A146</f>
        <v>2046</v>
      </c>
      <c r="C193" s="314">
        <f>'4A SWD Case 3'!BG116</f>
        <v>300.87107194575378</v>
      </c>
      <c r="D193" s="3">
        <f>'4B Biological treatment '!T246</f>
        <v>4.1581922879200386</v>
      </c>
      <c r="E193" s="178">
        <f>'4B Biological treatment '!U246</f>
        <v>20.790961439600192</v>
      </c>
      <c r="F193" s="178">
        <f>'4B Biological treatment '!W246</f>
        <v>1.2474576863760114</v>
      </c>
      <c r="G193" s="952">
        <f>'4C2 Open-burning '!R185</f>
        <v>10.016107809927815</v>
      </c>
      <c r="H193" s="952">
        <f>'4C2 Open-burning '!Z185</f>
        <v>3.3701136311682811</v>
      </c>
      <c r="I193" s="952">
        <f>'4C2 Open-burning '!AH185</f>
        <v>4.6917669865088968E-2</v>
      </c>
      <c r="J193" s="987">
        <f>'4D Wastewater treatment and dis'!AV222</f>
        <v>236.70809993397941</v>
      </c>
      <c r="K193" s="770">
        <f>'4D Wastewater treatment and dis'!AW222</f>
        <v>3.7309303668123635</v>
      </c>
      <c r="L193" s="771">
        <f t="shared" si="140"/>
        <v>6318.2925108608297</v>
      </c>
      <c r="M193" s="772">
        <f t="shared" si="131"/>
        <v>87.322038046320813</v>
      </c>
      <c r="N193" s="771">
        <f t="shared" si="132"/>
        <v>823.32207300816754</v>
      </c>
      <c r="O193" s="773">
        <f t="shared" si="133"/>
        <v>95.3329717226393</v>
      </c>
      <c r="P193" s="771">
        <f t="shared" si="134"/>
        <v>6127.4585123254001</v>
      </c>
      <c r="Q193" s="519">
        <f t="shared" si="135"/>
        <v>6318.2925108608297</v>
      </c>
      <c r="R193" s="521">
        <f t="shared" si="136"/>
        <v>910.64411105448835</v>
      </c>
      <c r="S193" s="518">
        <f t="shared" si="137"/>
        <v>95.3329717226393</v>
      </c>
      <c r="T193" s="519">
        <f t="shared" si="138"/>
        <v>6127.4585123254001</v>
      </c>
      <c r="U193" s="519">
        <f t="shared" si="139"/>
        <v>13451.728105963357</v>
      </c>
    </row>
    <row r="194" spans="1:21">
      <c r="A194">
        <f>'Input data'!A147</f>
        <v>2047</v>
      </c>
      <c r="C194" s="314">
        <f>'4A SWD Case 3'!BG117</f>
        <v>292.29048505051674</v>
      </c>
      <c r="D194" s="3">
        <f>'4B Biological treatment '!T247</f>
        <v>4.2020113978317841</v>
      </c>
      <c r="E194" s="178">
        <f>'4B Biological treatment '!U247</f>
        <v>21.010056989158919</v>
      </c>
      <c r="F194" s="178">
        <f>'4B Biological treatment '!W247</f>
        <v>1.260603419349535</v>
      </c>
      <c r="G194" s="952">
        <f>'4C2 Open-burning '!R186</f>
        <v>10.000431486540728</v>
      </c>
      <c r="H194" s="952">
        <f>'4C2 Open-burning '!Z186</f>
        <v>3.364839028285008</v>
      </c>
      <c r="I194" s="952">
        <f>'4C2 Open-burning '!AH186</f>
        <v>4.6844238490414199E-2</v>
      </c>
      <c r="J194" s="987">
        <f>'4D Wastewater treatment and dis'!AV223</f>
        <v>237.91731220203872</v>
      </c>
      <c r="K194" s="770">
        <f>'4D Wastewater treatment and dis'!AW223</f>
        <v>3.7499896502592862</v>
      </c>
      <c r="L194" s="771">
        <f t="shared" si="140"/>
        <v>6138.1001860608512</v>
      </c>
      <c r="M194" s="772">
        <f t="shared" si="131"/>
        <v>88.242239354467472</v>
      </c>
      <c r="N194" s="771">
        <f t="shared" si="132"/>
        <v>831.99825677069316</v>
      </c>
      <c r="O194" s="773">
        <f t="shared" si="133"/>
        <v>95.183765012554304</v>
      </c>
      <c r="P194" s="771">
        <f t="shared" si="134"/>
        <v>6158.7603478231922</v>
      </c>
      <c r="Q194" s="519">
        <f t="shared" si="135"/>
        <v>6138.1001860608512</v>
      </c>
      <c r="R194" s="521">
        <f t="shared" si="136"/>
        <v>920.24049612516069</v>
      </c>
      <c r="S194" s="518">
        <f t="shared" si="137"/>
        <v>95.183765012554304</v>
      </c>
      <c r="T194" s="519">
        <f t="shared" si="138"/>
        <v>6158.7603478231922</v>
      </c>
      <c r="U194" s="519">
        <f t="shared" si="139"/>
        <v>13312.284795021758</v>
      </c>
    </row>
    <row r="195" spans="1:21">
      <c r="A195">
        <f>'Input data'!A148</f>
        <v>2048</v>
      </c>
      <c r="C195" s="314">
        <f>'4A SWD Case 3'!BG118</f>
        <v>284.33987852087125</v>
      </c>
      <c r="D195" s="3">
        <f>'4B Biological treatment '!T248</f>
        <v>4.2463345502592489</v>
      </c>
      <c r="E195" s="178">
        <f>'4B Biological treatment '!U248</f>
        <v>21.231672751296244</v>
      </c>
      <c r="F195" s="178">
        <f>'4B Biological treatment '!W248</f>
        <v>1.2739003650777745</v>
      </c>
      <c r="G195" s="952">
        <f>'4C2 Open-burning '!R187</f>
        <v>9.9848806539350701</v>
      </c>
      <c r="H195" s="952">
        <f>'4C2 Open-burning '!Z187</f>
        <v>3.3596066492077385</v>
      </c>
      <c r="I195" s="952">
        <f>'4C2 Open-burning '!AH187</f>
        <v>4.6771394942384859E-2</v>
      </c>
      <c r="J195" s="987">
        <f>'4D Wastewater treatment and dis'!AV224</f>
        <v>239.13292241860617</v>
      </c>
      <c r="K195" s="770">
        <f>'4D Wastewater treatment and dis'!AW224</f>
        <v>3.76914977647577</v>
      </c>
      <c r="L195" s="771">
        <f t="shared" si="140"/>
        <v>5971.1374489382961</v>
      </c>
      <c r="M195" s="772">
        <f t="shared" si="131"/>
        <v>89.173025555444227</v>
      </c>
      <c r="N195" s="771">
        <f t="shared" si="132"/>
        <v>840.77424095133119</v>
      </c>
      <c r="O195" s="773">
        <f t="shared" si="133"/>
        <v>95.035752719436886</v>
      </c>
      <c r="P195" s="771">
        <f t="shared" si="134"/>
        <v>6190.2278014982176</v>
      </c>
      <c r="Q195" s="519">
        <f t="shared" si="135"/>
        <v>5971.1374489382961</v>
      </c>
      <c r="R195" s="521">
        <f t="shared" si="136"/>
        <v>929.94726650677546</v>
      </c>
      <c r="S195" s="518">
        <f t="shared" si="137"/>
        <v>95.035752719436886</v>
      </c>
      <c r="T195" s="519">
        <f t="shared" si="138"/>
        <v>6190.2278014982176</v>
      </c>
      <c r="U195" s="519">
        <f t="shared" si="139"/>
        <v>13186.348269662725</v>
      </c>
    </row>
    <row r="196" spans="1:21">
      <c r="A196">
        <f>'Input data'!A149</f>
        <v>2049</v>
      </c>
      <c r="C196" s="314">
        <f>'4A SWD Case 3'!BG119</f>
        <v>276.9916841687434</v>
      </c>
      <c r="D196" s="3">
        <f>'4B Biological treatment '!T249</f>
        <v>4.2928433353195272</v>
      </c>
      <c r="E196" s="178">
        <f>'4B Biological treatment '!U249</f>
        <v>21.464216676597637</v>
      </c>
      <c r="F196" s="178">
        <f>'4B Biological treatment '!W249</f>
        <v>1.2878530005958579</v>
      </c>
      <c r="G196" s="952">
        <f>'4C2 Open-burning '!R188</f>
        <v>9.9694945657495211</v>
      </c>
      <c r="H196" s="952">
        <f>'4C2 Open-burning '!Z188</f>
        <v>3.3544297015841229</v>
      </c>
      <c r="I196" s="952">
        <f>'4C2 Open-burning '!AH188</f>
        <v>4.6699323093748288E-2</v>
      </c>
      <c r="J196" s="987">
        <f>'4D Wastewater treatment and dis'!AV225</f>
        <v>240.35173160942776</v>
      </c>
      <c r="K196" s="770">
        <f>'4D Wastewater treatment and dis'!AW225</f>
        <v>3.7883603240770336</v>
      </c>
      <c r="L196" s="771">
        <f t="shared" si="140"/>
        <v>5816.8253675436117</v>
      </c>
      <c r="M196" s="772">
        <f t="shared" si="131"/>
        <v>90.149710041710065</v>
      </c>
      <c r="N196" s="771">
        <f t="shared" si="132"/>
        <v>849.98298039326642</v>
      </c>
      <c r="O196" s="773">
        <f t="shared" si="133"/>
        <v>94.889308458078091</v>
      </c>
      <c r="P196" s="771">
        <f t="shared" si="134"/>
        <v>6221.7780642618636</v>
      </c>
      <c r="Q196" s="519">
        <f t="shared" si="135"/>
        <v>5816.8253675436117</v>
      </c>
      <c r="R196" s="521">
        <f t="shared" si="136"/>
        <v>940.13269043497644</v>
      </c>
      <c r="S196" s="518">
        <f t="shared" si="137"/>
        <v>94.889308458078091</v>
      </c>
      <c r="T196" s="519">
        <f t="shared" si="138"/>
        <v>6221.7780642618636</v>
      </c>
      <c r="U196" s="519">
        <f t="shared" si="139"/>
        <v>13073.625430698528</v>
      </c>
    </row>
    <row r="197" spans="1:21">
      <c r="A197">
        <f>'Input data'!A150</f>
        <v>2050</v>
      </c>
      <c r="C197" s="314">
        <f>'4A SWD Case 3'!BG120</f>
        <v>270.22011603134604</v>
      </c>
      <c r="D197" s="3">
        <f>'4B Biological treatment '!T250</f>
        <v>4.3417115607766599</v>
      </c>
      <c r="E197" s="178">
        <f>'4B Biological treatment '!U250</f>
        <v>21.708557803883298</v>
      </c>
      <c r="F197" s="178">
        <f>'4B Biological treatment '!W250</f>
        <v>1.3025134682329977</v>
      </c>
      <c r="G197" s="952">
        <f>'4C2 Open-burning '!R189</f>
        <v>9.9541915956313378</v>
      </c>
      <c r="H197" s="952">
        <f>'4C2 Open-burning '!Z189</f>
        <v>3.3492807206454862</v>
      </c>
      <c r="I197" s="952">
        <f>'4C2 Open-burning '!AH189</f>
        <v>4.6627640588569122E-2</v>
      </c>
      <c r="J197" s="987">
        <f>'4D Wastewater treatment and dis'!AV226</f>
        <v>241.58013772301177</v>
      </c>
      <c r="K197" s="770">
        <f>'4D Wastewater treatment and dis'!AW226</f>
        <v>3.8077221358326381</v>
      </c>
      <c r="L197" s="771">
        <f t="shared" si="140"/>
        <v>5674.6224366582665</v>
      </c>
      <c r="M197" s="772">
        <f t="shared" si="131"/>
        <v>91.175942776309853</v>
      </c>
      <c r="N197" s="771">
        <f t="shared" si="132"/>
        <v>859.65888903377856</v>
      </c>
      <c r="O197" s="773">
        <f t="shared" si="133"/>
        <v>94.743655311642982</v>
      </c>
      <c r="P197" s="771">
        <f t="shared" si="134"/>
        <v>6253.5767542913654</v>
      </c>
      <c r="Q197" s="471">
        <f t="shared" si="135"/>
        <v>5674.6224366582665</v>
      </c>
      <c r="R197" s="517">
        <f t="shared" si="136"/>
        <v>950.83483181008842</v>
      </c>
      <c r="S197" s="514">
        <f t="shared" si="137"/>
        <v>94.743655311642982</v>
      </c>
      <c r="T197" s="471">
        <f t="shared" si="138"/>
        <v>6253.5767542913654</v>
      </c>
      <c r="U197" s="471">
        <f t="shared" si="139"/>
        <v>12973.777678071365</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820.16905115932695</v>
      </c>
      <c r="D199" s="3">
        <f>'4B Biological treatment '!T252</f>
        <v>0.67261797243059629</v>
      </c>
      <c r="E199" s="178">
        <f>'4B Biological treatment '!U252</f>
        <v>18.616319402796545</v>
      </c>
      <c r="F199" s="178">
        <f>'4B Biological treatment '!W252</f>
        <v>1.1169791641677926</v>
      </c>
      <c r="G199" s="952">
        <f>'4C2 Open-burning '!R157</f>
        <v>32.917079168029382</v>
      </c>
      <c r="H199" s="952">
        <f>'4C2 Open-burning '!Z157</f>
        <v>11.075589371398827</v>
      </c>
      <c r="I199" s="952">
        <f>'4C2 Open-burning '!AH157</f>
        <v>0.15419089756580112</v>
      </c>
      <c r="J199" s="987">
        <f>'4D Wastewater treatment and dis'!AV194</f>
        <v>137.16052018288545</v>
      </c>
      <c r="K199" s="770">
        <f>'4D Wastewater treatment and dis'!AW194</f>
        <v>2.8960026562367029</v>
      </c>
      <c r="L199" s="771">
        <f>C199*$B$3</f>
        <v>17223.550074345865</v>
      </c>
      <c r="M199" s="772">
        <f t="shared" ref="M199:M231" si="146">D199*$B$3</f>
        <v>14.124977421042523</v>
      </c>
      <c r="N199" s="771">
        <f t="shared" ref="N199:N231" si="147">E199*$B$3+F199*$C$3</f>
        <v>737.20624835074318</v>
      </c>
      <c r="O199" s="773">
        <f t="shared" ref="O199:O231" si="148">G199+H199*$B$3+I199*$C$3</f>
        <v>313.3036342128031</v>
      </c>
      <c r="P199" s="771">
        <f t="shared" ref="P199:P231" si="149">J199*$B$3+K199*$C$3</f>
        <v>3778.1317472739725</v>
      </c>
      <c r="Q199" s="471">
        <f t="shared" si="141"/>
        <v>17223.550074345865</v>
      </c>
      <c r="R199" s="517">
        <f t="shared" si="142"/>
        <v>751.33122577178574</v>
      </c>
      <c r="S199" s="514">
        <f t="shared" si="143"/>
        <v>313.3036342128031</v>
      </c>
      <c r="T199" s="471">
        <f t="shared" si="144"/>
        <v>3778.1317472739725</v>
      </c>
      <c r="U199" s="471">
        <f t="shared" si="145"/>
        <v>22066.316681604425</v>
      </c>
    </row>
    <row r="200" spans="1:21">
      <c r="A200">
        <f>'Input data'!A119</f>
        <v>2019</v>
      </c>
      <c r="C200" s="314">
        <f>'4A SWD Case 3'!BN89</f>
        <v>801.62200013055758</v>
      </c>
      <c r="D200" s="3">
        <f>'4B Biological treatment '!T253</f>
        <v>1.1284607435210157</v>
      </c>
      <c r="E200" s="178">
        <f>'4B Biological treatment '!U253</f>
        <v>17.910036401106023</v>
      </c>
      <c r="F200" s="178">
        <f>'4B Biological treatment '!W253</f>
        <v>1.0746021840663613</v>
      </c>
      <c r="G200" s="952">
        <f>'4C2 Open-burning '!R158</f>
        <v>32.340331503378508</v>
      </c>
      <c r="H200" s="952">
        <f>'4C2 Open-burning '!Z158</f>
        <v>10.881531439588446</v>
      </c>
      <c r="I200" s="952">
        <f>'4C2 Open-burning '!AH158</f>
        <v>0.15148928362163711</v>
      </c>
      <c r="J200" s="987">
        <f>'4D Wastewater treatment and dis'!AV195</f>
        <v>143.32311856444659</v>
      </c>
      <c r="K200" s="770">
        <f>'4D Wastewater treatment and dis'!AW195</f>
        <v>2.9428441226975277</v>
      </c>
      <c r="L200" s="771">
        <f t="shared" ref="L200:L231" si="150">C200*$B$3</f>
        <v>16834.06200274171</v>
      </c>
      <c r="M200" s="772">
        <f t="shared" si="146"/>
        <v>23.697675613941328</v>
      </c>
      <c r="N200" s="771">
        <f t="shared" si="147"/>
        <v>709.23744148379853</v>
      </c>
      <c r="O200" s="773">
        <f t="shared" si="148"/>
        <v>307.81416965744336</v>
      </c>
      <c r="P200" s="771">
        <f t="shared" si="149"/>
        <v>3922.0671678896119</v>
      </c>
      <c r="Q200" s="519">
        <f t="shared" si="141"/>
        <v>16834.06200274171</v>
      </c>
      <c r="R200" s="521">
        <f t="shared" si="142"/>
        <v>732.93511709773986</v>
      </c>
      <c r="S200" s="518">
        <f t="shared" si="143"/>
        <v>307.81416965744336</v>
      </c>
      <c r="T200" s="519">
        <f t="shared" si="144"/>
        <v>3922.0671678896119</v>
      </c>
      <c r="U200" s="519">
        <f t="shared" si="145"/>
        <v>21796.878457386501</v>
      </c>
    </row>
    <row r="201" spans="1:21">
      <c r="A201">
        <f>'Input data'!A120</f>
        <v>2020</v>
      </c>
      <c r="C201" s="314">
        <f>'4A SWD Case 3'!BN90</f>
        <v>782.61612778665653</v>
      </c>
      <c r="D201" s="3">
        <f>'4B Biological treatment '!T254</f>
        <v>1.6995699695463999</v>
      </c>
      <c r="E201" s="178">
        <f>'4B Biological treatment '!U254</f>
        <v>17.582313295543536</v>
      </c>
      <c r="F201" s="178">
        <f>'4B Biological treatment '!W254</f>
        <v>1.0549387977326121</v>
      </c>
      <c r="G201" s="952">
        <f>'4C2 Open-burning '!R159</f>
        <v>31.469352619539116</v>
      </c>
      <c r="H201" s="952">
        <f>'4C2 Open-burning '!Z159</f>
        <v>10.588473710519533</v>
      </c>
      <c r="I201" s="952">
        <f>'4C2 Open-burning '!AH159</f>
        <v>0.14740942540655916</v>
      </c>
      <c r="J201" s="987">
        <f>'4D Wastewater treatment and dis'!AV196</f>
        <v>149.6491219215433</v>
      </c>
      <c r="K201" s="770">
        <f>'4D Wastewater treatment and dis'!AW196</f>
        <v>2.9904419099300554</v>
      </c>
      <c r="L201" s="771">
        <f t="shared" si="150"/>
        <v>16434.938683519787</v>
      </c>
      <c r="M201" s="772">
        <f t="shared" si="146"/>
        <v>35.690969360474398</v>
      </c>
      <c r="N201" s="771">
        <f t="shared" si="147"/>
        <v>696.25960650352397</v>
      </c>
      <c r="O201" s="773">
        <f t="shared" si="148"/>
        <v>299.52422241648264</v>
      </c>
      <c r="P201" s="771">
        <f t="shared" si="149"/>
        <v>4069.6685524307268</v>
      </c>
      <c r="Q201" s="519">
        <f t="shared" si="141"/>
        <v>16434.938683519787</v>
      </c>
      <c r="R201" s="521">
        <f t="shared" si="142"/>
        <v>731.95057586399832</v>
      </c>
      <c r="S201" s="518">
        <f t="shared" si="143"/>
        <v>299.52422241648264</v>
      </c>
      <c r="T201" s="519">
        <f t="shared" si="144"/>
        <v>4069.6685524307268</v>
      </c>
      <c r="U201" s="519">
        <f t="shared" si="145"/>
        <v>21536.082034230996</v>
      </c>
    </row>
    <row r="202" spans="1:21">
      <c r="A202">
        <f>'Input data'!A121</f>
        <v>2021</v>
      </c>
      <c r="C202" s="314">
        <f>'4A SWD Case 3'!BN91</f>
        <v>762.06707578491785</v>
      </c>
      <c r="D202" s="3">
        <f>'4B Biological treatment '!T255</f>
        <v>2.6647907753456446</v>
      </c>
      <c r="E202" s="178">
        <f>'4B Biological treatment '!U255</f>
        <v>18.955075883654807</v>
      </c>
      <c r="F202" s="178">
        <f>'4B Biological treatment '!W255</f>
        <v>1.1373045530192885</v>
      </c>
      <c r="G202" s="952">
        <f>'4C2 Open-burning '!R160</f>
        <v>28.930991306569897</v>
      </c>
      <c r="H202" s="952">
        <f>'4C2 Open-burning '!Z160</f>
        <v>9.7343928415827357</v>
      </c>
      <c r="I202" s="952">
        <f>'4C2 Open-burning '!AH160</f>
        <v>0.13551917818276635</v>
      </c>
      <c r="J202" s="987">
        <f>'4D Wastewater treatment and dis'!AV197</f>
        <v>155.4265138839244</v>
      </c>
      <c r="K202" s="770">
        <f>'4D Wastewater treatment and dis'!AW197</f>
        <v>3.024879715734945</v>
      </c>
      <c r="L202" s="771">
        <f t="shared" si="150"/>
        <v>16003.408591483274</v>
      </c>
      <c r="M202" s="772">
        <f t="shared" si="146"/>
        <v>55.960606282258539</v>
      </c>
      <c r="N202" s="771">
        <f t="shared" si="147"/>
        <v>750.62100499273038</v>
      </c>
      <c r="O202" s="773">
        <f t="shared" si="148"/>
        <v>275.36418621646493</v>
      </c>
      <c r="P202" s="771">
        <f t="shared" si="149"/>
        <v>4201.6695034402455</v>
      </c>
      <c r="Q202" s="519">
        <f t="shared" si="141"/>
        <v>16003.408591483274</v>
      </c>
      <c r="R202" s="521">
        <f t="shared" si="142"/>
        <v>806.58161127498897</v>
      </c>
      <c r="S202" s="518">
        <f t="shared" si="143"/>
        <v>275.36418621646493</v>
      </c>
      <c r="T202" s="519">
        <f t="shared" si="144"/>
        <v>4201.6695034402455</v>
      </c>
      <c r="U202" s="519">
        <f t="shared" si="145"/>
        <v>21287.023892414974</v>
      </c>
    </row>
    <row r="203" spans="1:21">
      <c r="A203">
        <f>'Input data'!A122</f>
        <v>2022</v>
      </c>
      <c r="C203" s="314">
        <f>'4A SWD Case 3'!BN92</f>
        <v>736.62416519458623</v>
      </c>
      <c r="D203" s="3">
        <f>'4B Biological treatment '!T256</f>
        <v>3.5443836514186633</v>
      </c>
      <c r="E203" s="178">
        <f>'4B Biological treatment '!U256</f>
        <v>17.721918257093318</v>
      </c>
      <c r="F203" s="178">
        <f>'4B Biological treatment '!W256</f>
        <v>1.0633150954255988</v>
      </c>
      <c r="G203" s="952">
        <f>'4C2 Open-burning '!R161</f>
        <v>24.078073091016368</v>
      </c>
      <c r="H203" s="952">
        <f>'4C2 Open-burning '!Z161</f>
        <v>8.1015344359482544</v>
      </c>
      <c r="I203" s="952">
        <f>'4C2 Open-burning '!AH161</f>
        <v>0.11278703321783931</v>
      </c>
      <c r="J203" s="987">
        <f>'4D Wastewater treatment and dis'!AV198</f>
        <v>161.31482365077883</v>
      </c>
      <c r="K203" s="770">
        <f>'4D Wastewater treatment and dis'!AW198</f>
        <v>3.0596704712332969</v>
      </c>
      <c r="L203" s="771">
        <f t="shared" si="150"/>
        <v>15469.107469086312</v>
      </c>
      <c r="M203" s="772">
        <f t="shared" si="146"/>
        <v>74.432056679791927</v>
      </c>
      <c r="N203" s="771">
        <f t="shared" si="147"/>
        <v>701.78796298089537</v>
      </c>
      <c r="O203" s="773">
        <f t="shared" si="148"/>
        <v>229.17427654345988</v>
      </c>
      <c r="P203" s="771">
        <f t="shared" si="149"/>
        <v>4336.1091427486772</v>
      </c>
      <c r="Q203" s="519">
        <f t="shared" si="141"/>
        <v>15469.107469086312</v>
      </c>
      <c r="R203" s="521">
        <f t="shared" si="142"/>
        <v>776.22001966068729</v>
      </c>
      <c r="S203" s="518">
        <f t="shared" si="143"/>
        <v>229.17427654345988</v>
      </c>
      <c r="T203" s="519">
        <f t="shared" si="144"/>
        <v>4336.1091427486772</v>
      </c>
      <c r="U203" s="519">
        <f t="shared" si="145"/>
        <v>20810.61090803914</v>
      </c>
    </row>
    <row r="204" spans="1:21">
      <c r="A204">
        <f>'Input data'!A123</f>
        <v>2023</v>
      </c>
      <c r="C204" s="314">
        <f>'4A SWD Case 3'!BN93</f>
        <v>708.95387115156745</v>
      </c>
      <c r="D204" s="3">
        <f>'4B Biological treatment '!T257</f>
        <v>3.5581600893159502</v>
      </c>
      <c r="E204" s="178">
        <f>'4B Biological treatment '!U257</f>
        <v>17.790800446579752</v>
      </c>
      <c r="F204" s="178">
        <f>'4B Biological treatment '!W257</f>
        <v>1.067448026794785</v>
      </c>
      <c r="G204" s="952">
        <f>'4C2 Open-burning '!R162</f>
        <v>22.83474736957087</v>
      </c>
      <c r="H204" s="952">
        <f>'4C2 Open-burning '!Z162</f>
        <v>7.6831933955620482</v>
      </c>
      <c r="I204" s="952">
        <f>'4C2 Open-burning '!AH162</f>
        <v>0.10696301985451132</v>
      </c>
      <c r="J204" s="987">
        <f>'4D Wastewater treatment and dis'!AV199</f>
        <v>167.32092220488411</v>
      </c>
      <c r="K204" s="770">
        <f>'4D Wastewater treatment and dis'!AW199</f>
        <v>3.0949150191946715</v>
      </c>
      <c r="L204" s="771">
        <f t="shared" si="150"/>
        <v>14888.031294182916</v>
      </c>
      <c r="M204" s="772">
        <f t="shared" si="146"/>
        <v>74.721361875634955</v>
      </c>
      <c r="N204" s="771">
        <f t="shared" si="147"/>
        <v>704.51569768455806</v>
      </c>
      <c r="O204" s="773">
        <f t="shared" si="148"/>
        <v>217.34034483127238</v>
      </c>
      <c r="P204" s="771">
        <f t="shared" si="149"/>
        <v>4473.1630222529147</v>
      </c>
      <c r="Q204" s="519">
        <f t="shared" si="141"/>
        <v>14888.031294182916</v>
      </c>
      <c r="R204" s="521">
        <f t="shared" si="142"/>
        <v>779.23705956019307</v>
      </c>
      <c r="S204" s="518">
        <f t="shared" si="143"/>
        <v>217.34034483127238</v>
      </c>
      <c r="T204" s="519">
        <f t="shared" si="144"/>
        <v>4473.1630222529147</v>
      </c>
      <c r="U204" s="519">
        <f t="shared" si="145"/>
        <v>20357.771720827295</v>
      </c>
    </row>
    <row r="205" spans="1:21">
      <c r="A205">
        <f>'Input data'!A124</f>
        <v>2024</v>
      </c>
      <c r="C205" s="314">
        <f>'4A SWD Case 3'!BN94</f>
        <v>682.41181628177424</v>
      </c>
      <c r="D205" s="3">
        <f>'4B Biological treatment '!T258</f>
        <v>3.5714476928768728</v>
      </c>
      <c r="E205" s="178">
        <f>'4B Biological treatment '!U258</f>
        <v>17.857238464384363</v>
      </c>
      <c r="F205" s="178">
        <f>'4B Biological treatment '!W258</f>
        <v>1.0714343078630617</v>
      </c>
      <c r="G205" s="952">
        <f>'4C2 Open-burning '!R163</f>
        <v>21.570136743906811</v>
      </c>
      <c r="H205" s="952">
        <f>'4C2 Open-burning '!Z163</f>
        <v>7.2576906365515708</v>
      </c>
      <c r="I205" s="952">
        <f>'4C2 Open-burning '!AH163</f>
        <v>0.1010393032802967</v>
      </c>
      <c r="J205" s="987">
        <f>'4D Wastewater treatment and dis'!AV200</f>
        <v>173.44384059068466</v>
      </c>
      <c r="K205" s="770">
        <f>'4D Wastewater treatment and dis'!AW200</f>
        <v>3.1305629382342866</v>
      </c>
      <c r="L205" s="771">
        <f t="shared" si="150"/>
        <v>14330.64814191726</v>
      </c>
      <c r="M205" s="772">
        <f t="shared" si="146"/>
        <v>75.000401550414324</v>
      </c>
      <c r="N205" s="771">
        <f t="shared" si="147"/>
        <v>707.14664318962082</v>
      </c>
      <c r="O205" s="773">
        <f t="shared" si="148"/>
        <v>205.30382412838176</v>
      </c>
      <c r="P205" s="771">
        <f t="shared" si="149"/>
        <v>4612.7951632570066</v>
      </c>
      <c r="Q205" s="519">
        <f t="shared" si="141"/>
        <v>14330.64814191726</v>
      </c>
      <c r="R205" s="521">
        <f t="shared" si="142"/>
        <v>782.1470447400352</v>
      </c>
      <c r="S205" s="518">
        <f t="shared" si="143"/>
        <v>205.30382412838176</v>
      </c>
      <c r="T205" s="519">
        <f t="shared" si="144"/>
        <v>4612.7951632570066</v>
      </c>
      <c r="U205" s="519">
        <f t="shared" si="145"/>
        <v>19930.894174042682</v>
      </c>
    </row>
    <row r="206" spans="1:21">
      <c r="A206">
        <f>'Input data'!A125</f>
        <v>2025</v>
      </c>
      <c r="C206" s="314">
        <f>'4A SWD Case 3'!BN95</f>
        <v>656.91690412075843</v>
      </c>
      <c r="D206" s="3">
        <f>'4B Biological treatment '!T259</f>
        <v>3.5853023442679781</v>
      </c>
      <c r="E206" s="178">
        <f>'4B Biological treatment '!U259</f>
        <v>17.926511721339889</v>
      </c>
      <c r="F206" s="178">
        <f>'4B Biological treatment '!W259</f>
        <v>1.0755907032803933</v>
      </c>
      <c r="G206" s="952">
        <f>'4C2 Open-burning '!R164</f>
        <v>20.283474926977643</v>
      </c>
      <c r="H206" s="952">
        <f>'4C2 Open-burning '!Z164</f>
        <v>6.8247683267858177</v>
      </c>
      <c r="I206" s="952">
        <f>'4C2 Open-burning '!AH164</f>
        <v>9.501229403675969E-2</v>
      </c>
      <c r="J206" s="987">
        <f>'4D Wastewater treatment and dis'!AV201</f>
        <v>179.68520063996107</v>
      </c>
      <c r="K206" s="770">
        <f>'4D Wastewater treatment and dis'!AW201</f>
        <v>3.166614228352143</v>
      </c>
      <c r="L206" s="771">
        <f t="shared" si="150"/>
        <v>13795.254986535927</v>
      </c>
      <c r="M206" s="772">
        <f t="shared" si="146"/>
        <v>75.291349229627542</v>
      </c>
      <c r="N206" s="771">
        <f t="shared" si="147"/>
        <v>709.88986416505963</v>
      </c>
      <c r="O206" s="773">
        <f t="shared" si="148"/>
        <v>193.05742094087532</v>
      </c>
      <c r="P206" s="771">
        <f t="shared" si="149"/>
        <v>4755.0396242283468</v>
      </c>
      <c r="Q206" s="519">
        <f t="shared" si="141"/>
        <v>13795.254986535927</v>
      </c>
      <c r="R206" s="521">
        <f t="shared" si="142"/>
        <v>785.18121339468712</v>
      </c>
      <c r="S206" s="518">
        <f t="shared" si="143"/>
        <v>193.05742094087532</v>
      </c>
      <c r="T206" s="519">
        <f t="shared" si="144"/>
        <v>4755.0396242283468</v>
      </c>
      <c r="U206" s="519">
        <f t="shared" si="145"/>
        <v>19528.533245099836</v>
      </c>
    </row>
    <row r="207" spans="1:21">
      <c r="A207">
        <f>'Input data'!A126</f>
        <v>2026</v>
      </c>
      <c r="C207" s="314">
        <f>'4A SWD Case 3'!BN96</f>
        <v>632.39151630978529</v>
      </c>
      <c r="D207" s="3">
        <f>'4B Biological treatment '!T260</f>
        <v>3.6017575943285447</v>
      </c>
      <c r="E207" s="178">
        <f>'4B Biological treatment '!U260</f>
        <v>18.008787971642722</v>
      </c>
      <c r="F207" s="178">
        <f>'4B Biological treatment '!W260</f>
        <v>1.0805272782985633</v>
      </c>
      <c r="G207" s="952">
        <f>'4C2 Open-burning '!R165</f>
        <v>18.985218856693223</v>
      </c>
      <c r="H207" s="952">
        <f>'4C2 Open-burning '!Z165</f>
        <v>6.3879449057284106</v>
      </c>
      <c r="I207" s="952">
        <f>'4C2 Open-burning '!AH165</f>
        <v>8.8930974739699215E-2</v>
      </c>
      <c r="J207" s="987">
        <f>'4D Wastewater treatment and dis'!AV202</f>
        <v>185.73911394397246</v>
      </c>
      <c r="K207" s="770">
        <f>'4D Wastewater treatment and dis'!AW202</f>
        <v>3.1977746441463193</v>
      </c>
      <c r="L207" s="771">
        <f t="shared" si="150"/>
        <v>13280.221842505491</v>
      </c>
      <c r="M207" s="772">
        <f t="shared" si="146"/>
        <v>75.636909480899433</v>
      </c>
      <c r="N207" s="771">
        <f t="shared" si="147"/>
        <v>713.14800367705175</v>
      </c>
      <c r="O207" s="773">
        <f t="shared" si="148"/>
        <v>180.70066404629659</v>
      </c>
      <c r="P207" s="771">
        <f t="shared" si="149"/>
        <v>4891.8315325087806</v>
      </c>
      <c r="Q207" s="519">
        <f t="shared" si="141"/>
        <v>13280.221842505491</v>
      </c>
      <c r="R207" s="521">
        <f t="shared" si="142"/>
        <v>788.78491315795122</v>
      </c>
      <c r="S207" s="518">
        <f t="shared" si="143"/>
        <v>180.70066404629659</v>
      </c>
      <c r="T207" s="519">
        <f t="shared" si="144"/>
        <v>4891.8315325087806</v>
      </c>
      <c r="U207" s="519">
        <f t="shared" si="145"/>
        <v>19141.538952218521</v>
      </c>
    </row>
    <row r="208" spans="1:21">
      <c r="A208">
        <f>'Input data'!A127</f>
        <v>2027</v>
      </c>
      <c r="C208" s="314">
        <f>'4A SWD Case 3'!BN97</f>
        <v>608.75751975951971</v>
      </c>
      <c r="D208" s="3">
        <f>'4B Biological treatment '!T261</f>
        <v>3.618052072207373</v>
      </c>
      <c r="E208" s="178">
        <f>'4B Biological treatment '!U261</f>
        <v>18.090260361036865</v>
      </c>
      <c r="F208" s="178">
        <f>'4B Biological treatment '!W261</f>
        <v>1.0854156216622117</v>
      </c>
      <c r="G208" s="952">
        <f>'4C2 Open-burning '!R166</f>
        <v>17.661553312930316</v>
      </c>
      <c r="H208" s="952">
        <f>'4C2 Open-burning '!Z166</f>
        <v>5.9425719747659889</v>
      </c>
      <c r="I208" s="952">
        <f>'4C2 Open-burning '!AH166</f>
        <v>8.2730631834793011E-2</v>
      </c>
      <c r="J208" s="987">
        <f>'4D Wastewater treatment and dis'!AV203</f>
        <v>191.89752530165873</v>
      </c>
      <c r="K208" s="770">
        <f>'4D Wastewater treatment and dis'!AW203</f>
        <v>3.2292880096339567</v>
      </c>
      <c r="L208" s="771">
        <f t="shared" si="150"/>
        <v>12783.907914949914</v>
      </c>
      <c r="M208" s="772">
        <f t="shared" si="146"/>
        <v>75.979093516354837</v>
      </c>
      <c r="N208" s="771">
        <f t="shared" si="147"/>
        <v>716.37431029705976</v>
      </c>
      <c r="O208" s="773">
        <f t="shared" si="148"/>
        <v>168.10206065180193</v>
      </c>
      <c r="P208" s="771">
        <f t="shared" si="149"/>
        <v>5030.9273143213595</v>
      </c>
      <c r="Q208" s="519">
        <f t="shared" si="141"/>
        <v>12783.907914949914</v>
      </c>
      <c r="R208" s="521">
        <f t="shared" si="142"/>
        <v>792.35340381341462</v>
      </c>
      <c r="S208" s="518">
        <f t="shared" si="143"/>
        <v>168.10206065180193</v>
      </c>
      <c r="T208" s="519">
        <f t="shared" si="144"/>
        <v>5030.9273143213595</v>
      </c>
      <c r="U208" s="519">
        <f t="shared" si="145"/>
        <v>18775.29069373649</v>
      </c>
    </row>
    <row r="209" spans="1:21">
      <c r="A209">
        <f>'Input data'!A128</f>
        <v>2028</v>
      </c>
      <c r="C209" s="314">
        <f>'4A SWD Case 3'!BN98</f>
        <v>585.9442545800041</v>
      </c>
      <c r="D209" s="3">
        <f>'4B Biological treatment '!T262</f>
        <v>3.6351286850243856</v>
      </c>
      <c r="E209" s="178">
        <f>'4B Biological treatment '!U262</f>
        <v>18.175643425121926</v>
      </c>
      <c r="F209" s="178">
        <f>'4B Biological treatment '!W262</f>
        <v>1.0905386055073156</v>
      </c>
      <c r="G209" s="952">
        <f>'4C2 Open-burning '!R167</f>
        <v>16.311774076310044</v>
      </c>
      <c r="H209" s="952">
        <f>'4C2 Open-burning '!Z167</f>
        <v>5.4884125856374997</v>
      </c>
      <c r="I209" s="952">
        <f>'4C2 Open-burning '!AH167</f>
        <v>7.6407966602323005E-2</v>
      </c>
      <c r="J209" s="987">
        <f>'4D Wastewater treatment and dis'!AV204</f>
        <v>198.15572617261648</v>
      </c>
      <c r="K209" s="770">
        <f>'4D Wastewater treatment and dis'!AW204</f>
        <v>3.2610534820454951</v>
      </c>
      <c r="L209" s="771">
        <f t="shared" si="150"/>
        <v>12304.829346180086</v>
      </c>
      <c r="M209" s="772">
        <f t="shared" si="146"/>
        <v>76.337702385512102</v>
      </c>
      <c r="N209" s="771">
        <f t="shared" si="147"/>
        <v>719.75547963482836</v>
      </c>
      <c r="O209" s="773">
        <f t="shared" si="148"/>
        <v>155.25490802141766</v>
      </c>
      <c r="P209" s="771">
        <f t="shared" si="149"/>
        <v>5172.1968290590494</v>
      </c>
      <c r="Q209" s="519">
        <f t="shared" si="141"/>
        <v>12304.829346180086</v>
      </c>
      <c r="R209" s="521">
        <f t="shared" si="142"/>
        <v>796.09318202034046</v>
      </c>
      <c r="S209" s="518">
        <f t="shared" si="143"/>
        <v>155.25490802141766</v>
      </c>
      <c r="T209" s="519">
        <f t="shared" si="144"/>
        <v>5172.1968290590494</v>
      </c>
      <c r="U209" s="519">
        <f t="shared" si="145"/>
        <v>18428.374265280894</v>
      </c>
    </row>
    <row r="210" spans="1:21">
      <c r="A210">
        <f>'Input data'!A129</f>
        <v>2029</v>
      </c>
      <c r="C210" s="314">
        <f>'4A SWD Case 3'!BN99</f>
        <v>563.88393224410083</v>
      </c>
      <c r="D210" s="3">
        <f>'4B Biological treatment '!T263</f>
        <v>3.6527701730745306</v>
      </c>
      <c r="E210" s="178">
        <f>'4B Biological treatment '!U263</f>
        <v>18.263850865372653</v>
      </c>
      <c r="F210" s="178">
        <f>'4B Biological treatment '!W263</f>
        <v>1.0958310519223591</v>
      </c>
      <c r="G210" s="952">
        <f>'4C2 Open-burning '!R168</f>
        <v>14.934737796150557</v>
      </c>
      <c r="H210" s="952">
        <f>'4C2 Open-burning '!Z168</f>
        <v>5.0250820358426109</v>
      </c>
      <c r="I210" s="952">
        <f>'4C2 Open-burning '!AH168</f>
        <v>6.9957623334178959E-2</v>
      </c>
      <c r="J210" s="987">
        <f>'4D Wastewater treatment and dis'!AV205</f>
        <v>204.52099299756838</v>
      </c>
      <c r="K210" s="770">
        <f>'4D Wastewater treatment and dis'!AW205</f>
        <v>3.2931719041504954</v>
      </c>
      <c r="L210" s="771">
        <f t="shared" si="150"/>
        <v>11841.562577126118</v>
      </c>
      <c r="M210" s="772">
        <f t="shared" si="146"/>
        <v>76.708173634565142</v>
      </c>
      <c r="N210" s="771">
        <f t="shared" si="147"/>
        <v>723.24849426875699</v>
      </c>
      <c r="O210" s="773">
        <f t="shared" si="148"/>
        <v>142.14832378244085</v>
      </c>
      <c r="P210" s="771">
        <f t="shared" si="149"/>
        <v>5315.8241432355899</v>
      </c>
      <c r="Q210" s="519">
        <f t="shared" si="141"/>
        <v>11841.562577126118</v>
      </c>
      <c r="R210" s="521">
        <f t="shared" si="142"/>
        <v>799.95666790332211</v>
      </c>
      <c r="S210" s="518">
        <f t="shared" si="143"/>
        <v>142.14832378244085</v>
      </c>
      <c r="T210" s="519">
        <f t="shared" si="144"/>
        <v>5315.8241432355899</v>
      </c>
      <c r="U210" s="519">
        <f t="shared" si="145"/>
        <v>18099.491712047471</v>
      </c>
    </row>
    <row r="211" spans="1:21">
      <c r="A211">
        <f>'Input data'!A130</f>
        <v>2030</v>
      </c>
      <c r="C211" s="314">
        <f>'4A SWD Case 3'!BN100</f>
        <v>542.51161581696499</v>
      </c>
      <c r="D211" s="3">
        <f>'4B Biological treatment '!T264</f>
        <v>3.671028678687021</v>
      </c>
      <c r="E211" s="178">
        <f>'4B Biological treatment '!U264</f>
        <v>18.355143393435103</v>
      </c>
      <c r="F211" s="178">
        <f>'4B Biological treatment '!W264</f>
        <v>1.1013086036061062</v>
      </c>
      <c r="G211" s="952">
        <f>'4C2 Open-burning '!R169</f>
        <v>13.529544259453221</v>
      </c>
      <c r="H211" s="952">
        <f>'4C2 Open-burning '!Z169</f>
        <v>4.5522774312676333</v>
      </c>
      <c r="I211" s="952">
        <f>'4C2 Open-burning '!AH169</f>
        <v>6.3375385233069945E-2</v>
      </c>
      <c r="J211" s="987">
        <f>'4D Wastewater treatment and dis'!AV206</f>
        <v>210.99154590506851</v>
      </c>
      <c r="K211" s="770">
        <f>'4D Wastewater treatment and dis'!AW206</f>
        <v>3.3255928545641762</v>
      </c>
      <c r="L211" s="771">
        <f t="shared" si="150"/>
        <v>11392.743932156265</v>
      </c>
      <c r="M211" s="772">
        <f t="shared" si="146"/>
        <v>77.091602252427435</v>
      </c>
      <c r="N211" s="771">
        <f t="shared" si="147"/>
        <v>726.86367838003002</v>
      </c>
      <c r="O211" s="773">
        <f t="shared" si="148"/>
        <v>128.77373973832522</v>
      </c>
      <c r="P211" s="771">
        <f t="shared" si="149"/>
        <v>5461.7562489213324</v>
      </c>
      <c r="Q211" s="519">
        <f t="shared" si="141"/>
        <v>11392.743932156265</v>
      </c>
      <c r="R211" s="521">
        <f t="shared" si="142"/>
        <v>803.95528063245752</v>
      </c>
      <c r="S211" s="518">
        <f t="shared" si="143"/>
        <v>128.77373973832522</v>
      </c>
      <c r="T211" s="519">
        <f t="shared" si="144"/>
        <v>5461.7562489213324</v>
      </c>
      <c r="U211" s="519">
        <f t="shared" si="145"/>
        <v>17787.229201448379</v>
      </c>
    </row>
    <row r="212" spans="1:21">
      <c r="A212">
        <f>'Input data'!A131</f>
        <v>2031</v>
      </c>
      <c r="C212" s="314">
        <f>'4A SWD Case 3'!BN101</f>
        <v>521.76495945822523</v>
      </c>
      <c r="D212" s="3">
        <f>'4B Biological treatment '!T265</f>
        <v>3.6929523555237225</v>
      </c>
      <c r="E212" s="178">
        <f>'4B Biological treatment '!U265</f>
        <v>18.464761777618612</v>
      </c>
      <c r="F212" s="178">
        <f>'4B Biological treatment '!W265</f>
        <v>1.1078857066571166</v>
      </c>
      <c r="G212" s="952">
        <f>'4C2 Open-burning '!R170</f>
        <v>11.932133633461715</v>
      </c>
      <c r="H212" s="952">
        <f>'4C2 Open-burning '!Z170</f>
        <v>4.014797660942973</v>
      </c>
      <c r="I212" s="952">
        <f>'4C2 Open-burning '!AH170</f>
        <v>5.5892759665185338E-2</v>
      </c>
      <c r="J212" s="987">
        <f>'4D Wastewater treatment and dis'!AV207</f>
        <v>212.79256841014094</v>
      </c>
      <c r="K212" s="770">
        <f>'4D Wastewater treatment and dis'!AW207</f>
        <v>3.3539800941954407</v>
      </c>
      <c r="L212" s="771">
        <f t="shared" si="150"/>
        <v>10957.06414862273</v>
      </c>
      <c r="M212" s="772">
        <f t="shared" si="146"/>
        <v>77.551999465998165</v>
      </c>
      <c r="N212" s="771">
        <f t="shared" si="147"/>
        <v>731.20456639369695</v>
      </c>
      <c r="O212" s="773">
        <f t="shared" si="148"/>
        <v>113.5696400094716</v>
      </c>
      <c r="P212" s="771">
        <f t="shared" si="149"/>
        <v>5508.3777658135459</v>
      </c>
      <c r="Q212" s="519">
        <f t="shared" si="141"/>
        <v>10957.06414862273</v>
      </c>
      <c r="R212" s="521">
        <f t="shared" si="142"/>
        <v>808.75656585969512</v>
      </c>
      <c r="S212" s="518">
        <f t="shared" si="143"/>
        <v>113.5696400094716</v>
      </c>
      <c r="T212" s="519">
        <f t="shared" si="144"/>
        <v>5508.3777658135459</v>
      </c>
      <c r="U212" s="519">
        <f t="shared" si="145"/>
        <v>17387.768120305445</v>
      </c>
    </row>
    <row r="213" spans="1:21">
      <c r="A213">
        <f>'Input data'!A132</f>
        <v>2032</v>
      </c>
      <c r="C213" s="314">
        <f>'4A SWD Case 3'!BN102</f>
        <v>501.45854113269417</v>
      </c>
      <c r="D213" s="3">
        <f>'4B Biological treatment '!T266</f>
        <v>3.713846221358482</v>
      </c>
      <c r="E213" s="178">
        <f>'4B Biological treatment '!U266</f>
        <v>18.569231106792408</v>
      </c>
      <c r="F213" s="178">
        <f>'4B Biological treatment '!W266</f>
        <v>1.1141538664075443</v>
      </c>
      <c r="G213" s="952">
        <f>'4C2 Open-burning '!R171</f>
        <v>10.344640301197273</v>
      </c>
      <c r="H213" s="952">
        <f>'4C2 Open-burning '!Z171</f>
        <v>3.4806547563358281</v>
      </c>
      <c r="I213" s="952">
        <f>'4C2 Open-burning '!AH171</f>
        <v>4.8456588900091524E-2</v>
      </c>
      <c r="J213" s="987">
        <f>'4D Wastewater treatment and dis'!AV208</f>
        <v>214.6095857864839</v>
      </c>
      <c r="K213" s="770">
        <f>'4D Wastewater treatment and dis'!AW208</f>
        <v>3.3826194407506049</v>
      </c>
      <c r="L213" s="771">
        <f t="shared" si="150"/>
        <v>10530.629363786578</v>
      </c>
      <c r="M213" s="772">
        <f t="shared" si="146"/>
        <v>77.990770648528127</v>
      </c>
      <c r="N213" s="771">
        <f t="shared" si="147"/>
        <v>735.34155182897928</v>
      </c>
      <c r="O213" s="773">
        <f t="shared" si="148"/>
        <v>98.459932743278046</v>
      </c>
      <c r="P213" s="771">
        <f t="shared" si="149"/>
        <v>5555.4133281488503</v>
      </c>
      <c r="Q213" s="519">
        <f t="shared" si="141"/>
        <v>10530.629363786578</v>
      </c>
      <c r="R213" s="521">
        <f t="shared" si="142"/>
        <v>813.33232247750743</v>
      </c>
      <c r="S213" s="518">
        <f t="shared" si="143"/>
        <v>98.459932743278046</v>
      </c>
      <c r="T213" s="519">
        <f t="shared" si="144"/>
        <v>5555.4133281488503</v>
      </c>
      <c r="U213" s="519">
        <f t="shared" si="145"/>
        <v>16997.834947156214</v>
      </c>
    </row>
    <row r="214" spans="1:21">
      <c r="A214">
        <f>'Input data'!A133</f>
        <v>2033</v>
      </c>
      <c r="C214" s="314">
        <f>'4A SWD Case 3'!BN103</f>
        <v>481.56859267870584</v>
      </c>
      <c r="D214" s="3">
        <f>'4B Biological treatment '!T267</f>
        <v>3.7370517304549842</v>
      </c>
      <c r="E214" s="178">
        <f>'4B Biological treatment '!U267</f>
        <v>18.685258652274921</v>
      </c>
      <c r="F214" s="178">
        <f>'4B Biological treatment '!W267</f>
        <v>1.1211155191364952</v>
      </c>
      <c r="G214" s="952">
        <f>'4C2 Open-burning '!R172</f>
        <v>10.314004646981584</v>
      </c>
      <c r="H214" s="952">
        <f>'4C2 Open-burning '!Z172</f>
        <v>3.4703467966142174</v>
      </c>
      <c r="I214" s="952">
        <f>'4C2 Open-burning '!AH172</f>
        <v>4.8313084702865522E-2</v>
      </c>
      <c r="J214" s="987">
        <f>'4D Wastewater treatment and dis'!AV209</f>
        <v>216.43939905984345</v>
      </c>
      <c r="K214" s="770">
        <f>'4D Wastewater treatment and dis'!AW209</f>
        <v>3.4114604728448907</v>
      </c>
      <c r="L214" s="771">
        <f t="shared" si="150"/>
        <v>10112.940446252822</v>
      </c>
      <c r="M214" s="772">
        <f t="shared" si="146"/>
        <v>78.478086339554665</v>
      </c>
      <c r="N214" s="771">
        <f t="shared" si="147"/>
        <v>739.93624263008689</v>
      </c>
      <c r="O214" s="773">
        <f t="shared" si="148"/>
        <v>98.168343633768458</v>
      </c>
      <c r="P214" s="771">
        <f t="shared" si="149"/>
        <v>5602.7801268386283</v>
      </c>
      <c r="Q214" s="519">
        <f t="shared" si="141"/>
        <v>10112.940446252822</v>
      </c>
      <c r="R214" s="521">
        <f t="shared" si="142"/>
        <v>818.41432896964159</v>
      </c>
      <c r="S214" s="518">
        <f t="shared" si="143"/>
        <v>98.168343633768458</v>
      </c>
      <c r="T214" s="519">
        <f t="shared" si="144"/>
        <v>5602.7801268386283</v>
      </c>
      <c r="U214" s="519">
        <f t="shared" si="145"/>
        <v>16632.30324569486</v>
      </c>
    </row>
    <row r="215" spans="1:21">
      <c r="A215">
        <f>'Input data'!A134</f>
        <v>2034</v>
      </c>
      <c r="C215" s="314">
        <f>'4A SWD Case 3'!BN104</f>
        <v>462.6602653867655</v>
      </c>
      <c r="D215" s="3">
        <f>'4B Biological treatment '!T268</f>
        <v>3.7618649613688642</v>
      </c>
      <c r="E215" s="178">
        <f>'4B Biological treatment '!U268</f>
        <v>18.809324806844323</v>
      </c>
      <c r="F215" s="178">
        <f>'4B Biological treatment '!W268</f>
        <v>1.1285594884106591</v>
      </c>
      <c r="G215" s="952">
        <f>'4C2 Open-burning '!R173</f>
        <v>10.283748510657539</v>
      </c>
      <c r="H215" s="952">
        <f>'4C2 Open-burning '!Z173</f>
        <v>3.4601665330440619</v>
      </c>
      <c r="I215" s="952">
        <f>'4C2 Open-burning '!AH173</f>
        <v>4.8171358251594937E-2</v>
      </c>
      <c r="J215" s="987">
        <f>'4D Wastewater treatment and dis'!AV210</f>
        <v>218.28840617872763</v>
      </c>
      <c r="K215" s="770">
        <f>'4D Wastewater treatment and dis'!AW210</f>
        <v>3.4406040332478574</v>
      </c>
      <c r="L215" s="771">
        <f t="shared" si="150"/>
        <v>9715.8655731220751</v>
      </c>
      <c r="M215" s="772">
        <f t="shared" si="146"/>
        <v>78.99916418874615</v>
      </c>
      <c r="N215" s="771">
        <f t="shared" si="147"/>
        <v>744.84926235103512</v>
      </c>
      <c r="O215" s="773">
        <f t="shared" si="148"/>
        <v>97.880366762577253</v>
      </c>
      <c r="P215" s="771">
        <f t="shared" si="149"/>
        <v>5650.6437800601161</v>
      </c>
      <c r="Q215" s="519">
        <f t="shared" si="141"/>
        <v>9715.8655731220751</v>
      </c>
      <c r="R215" s="521">
        <f t="shared" si="142"/>
        <v>823.84842653978126</v>
      </c>
      <c r="S215" s="518">
        <f t="shared" si="143"/>
        <v>97.880366762577253</v>
      </c>
      <c r="T215" s="519">
        <f t="shared" si="144"/>
        <v>5650.6437800601161</v>
      </c>
      <c r="U215" s="519">
        <f t="shared" si="145"/>
        <v>16288.238146484551</v>
      </c>
    </row>
    <row r="216" spans="1:21">
      <c r="A216">
        <f>'Input data'!A135</f>
        <v>2035</v>
      </c>
      <c r="C216" s="314">
        <f>'4A SWD Case 3'!BN105</f>
        <v>444.68572791867098</v>
      </c>
      <c r="D216" s="3">
        <f>'4B Biological treatment '!T269</f>
        <v>3.7883858535644457</v>
      </c>
      <c r="E216" s="178">
        <f>'4B Biological treatment '!U269</f>
        <v>18.941929267822228</v>
      </c>
      <c r="F216" s="178">
        <f>'4B Biological treatment '!W269</f>
        <v>1.1365157560693335</v>
      </c>
      <c r="G216" s="952">
        <f>'4C2 Open-burning '!R174</f>
        <v>10.253970849261583</v>
      </c>
      <c r="H216" s="952">
        <f>'4C2 Open-burning '!Z174</f>
        <v>3.4501472616385209</v>
      </c>
      <c r="I216" s="952">
        <f>'4C2 Open-burning '!AH174</f>
        <v>4.8031873082980334E-2</v>
      </c>
      <c r="J216" s="987">
        <f>'4D Wastewater treatment and dis'!AV211</f>
        <v>220.15020919462836</v>
      </c>
      <c r="K216" s="770">
        <f>'4D Wastewater treatment and dis'!AW211</f>
        <v>3.4699492791899456</v>
      </c>
      <c r="L216" s="771">
        <f t="shared" si="150"/>
        <v>9338.4002862920897</v>
      </c>
      <c r="M216" s="772">
        <f t="shared" si="146"/>
        <v>79.556102924853363</v>
      </c>
      <c r="N216" s="771">
        <f t="shared" si="147"/>
        <v>750.10039900576021</v>
      </c>
      <c r="O216" s="773">
        <f t="shared" si="148"/>
        <v>97.596943999394412</v>
      </c>
      <c r="P216" s="771">
        <f t="shared" si="149"/>
        <v>5698.8386696360794</v>
      </c>
      <c r="Q216" s="519">
        <f t="shared" si="141"/>
        <v>9338.4002862920897</v>
      </c>
      <c r="R216" s="521">
        <f t="shared" si="142"/>
        <v>829.65650193061356</v>
      </c>
      <c r="S216" s="518">
        <f t="shared" si="143"/>
        <v>97.596943999394412</v>
      </c>
      <c r="T216" s="519">
        <f t="shared" si="144"/>
        <v>5698.8386696360794</v>
      </c>
      <c r="U216" s="519">
        <f t="shared" si="145"/>
        <v>15964.492401858179</v>
      </c>
    </row>
    <row r="217" spans="1:21">
      <c r="A217">
        <f>'Input data'!A136</f>
        <v>2036</v>
      </c>
      <c r="C217" s="314">
        <f>'4A SWD Case 3'!BN106</f>
        <v>427.5994307413668</v>
      </c>
      <c r="D217" s="3">
        <f>'4B Biological treatment '!T270</f>
        <v>3.8156910532952617</v>
      </c>
      <c r="E217" s="178">
        <f>'4B Biological treatment '!U270</f>
        <v>19.078455266476308</v>
      </c>
      <c r="F217" s="178">
        <f>'4B Biological treatment '!W270</f>
        <v>1.1447073159885783</v>
      </c>
      <c r="G217" s="952">
        <f>'4C2 Open-burning '!R175</f>
        <v>10.228723794654845</v>
      </c>
      <c r="H217" s="952">
        <f>'4C2 Open-burning '!Z175</f>
        <v>3.4416524007113378</v>
      </c>
      <c r="I217" s="952">
        <f>'4C2 Open-burning '!AH175</f>
        <v>4.7913610281143208E-2</v>
      </c>
      <c r="J217" s="987">
        <f>'4D Wastewater treatment and dis'!AV212</f>
        <v>221.76249221870739</v>
      </c>
      <c r="K217" s="770">
        <f>'4D Wastewater treatment and dis'!AW212</f>
        <v>3.4953616571191763</v>
      </c>
      <c r="L217" s="771">
        <f t="shared" si="150"/>
        <v>8979.588045568702</v>
      </c>
      <c r="M217" s="772">
        <f t="shared" si="146"/>
        <v>80.129512119200498</v>
      </c>
      <c r="N217" s="771">
        <f t="shared" si="147"/>
        <v>755.50682855246168</v>
      </c>
      <c r="O217" s="773">
        <f t="shared" si="148"/>
        <v>97.35664339674733</v>
      </c>
      <c r="P217" s="771">
        <f t="shared" si="149"/>
        <v>5740.5744502998004</v>
      </c>
      <c r="Q217" s="519">
        <f t="shared" si="141"/>
        <v>8979.588045568702</v>
      </c>
      <c r="R217" s="521">
        <f t="shared" si="142"/>
        <v>835.6363406716622</v>
      </c>
      <c r="S217" s="518">
        <f t="shared" si="143"/>
        <v>97.35664339674733</v>
      </c>
      <c r="T217" s="519">
        <f t="shared" si="144"/>
        <v>5740.5744502998004</v>
      </c>
      <c r="U217" s="519">
        <f t="shared" si="145"/>
        <v>15653.155479936913</v>
      </c>
    </row>
    <row r="218" spans="1:21">
      <c r="A218">
        <f>'Input data'!A137</f>
        <v>2037</v>
      </c>
      <c r="C218" s="314">
        <f>'4A SWD Case 3'!BN107</f>
        <v>411.35614639572873</v>
      </c>
      <c r="D218" s="3">
        <f>'4B Biological treatment '!T271</f>
        <v>3.844158592448101</v>
      </c>
      <c r="E218" s="178">
        <f>'4B Biological treatment '!U271</f>
        <v>19.220792962240505</v>
      </c>
      <c r="F218" s="178">
        <f>'4B Biological treatment '!W271</f>
        <v>1.1532475777344302</v>
      </c>
      <c r="G218" s="952">
        <f>'4C2 Open-burning '!R176</f>
        <v>10.20381658806048</v>
      </c>
      <c r="H218" s="952">
        <f>'4C2 Open-burning '!Z176</f>
        <v>3.4332718882357431</v>
      </c>
      <c r="I218" s="952">
        <f>'4C2 Open-burning '!AH176</f>
        <v>4.7796939402750933E-2</v>
      </c>
      <c r="J218" s="987">
        <f>'4D Wastewater treatment and dis'!AV213</f>
        <v>223.38437216554874</v>
      </c>
      <c r="K218" s="770">
        <f>'4D Wastewater treatment and dis'!AW213</f>
        <v>3.5209252992027475</v>
      </c>
      <c r="L218" s="771">
        <f t="shared" si="150"/>
        <v>8638.479074310304</v>
      </c>
      <c r="M218" s="772">
        <f t="shared" si="146"/>
        <v>80.727330441410118</v>
      </c>
      <c r="N218" s="771">
        <f t="shared" si="147"/>
        <v>761.14340130472397</v>
      </c>
      <c r="O218" s="773">
        <f t="shared" si="148"/>
        <v>97.119577455863862</v>
      </c>
      <c r="P218" s="771">
        <f t="shared" si="149"/>
        <v>5782.5586582293754</v>
      </c>
      <c r="Q218" s="519">
        <f t="shared" si="141"/>
        <v>8638.479074310304</v>
      </c>
      <c r="R218" s="521">
        <f t="shared" si="142"/>
        <v>841.87073174613408</v>
      </c>
      <c r="S218" s="518">
        <f t="shared" si="143"/>
        <v>97.119577455863862</v>
      </c>
      <c r="T218" s="519">
        <f t="shared" si="144"/>
        <v>5782.5586582293754</v>
      </c>
      <c r="U218" s="519">
        <f t="shared" si="145"/>
        <v>15360.028041741676</v>
      </c>
    </row>
    <row r="219" spans="1:21">
      <c r="A219">
        <f>'Input data'!A138</f>
        <v>2038</v>
      </c>
      <c r="C219" s="314">
        <f>'4A SWD Case 3'!BN108</f>
        <v>395.91477594048428</v>
      </c>
      <c r="D219" s="3">
        <f>'4B Biological treatment '!T272</f>
        <v>3.8730606510110417</v>
      </c>
      <c r="E219" s="178">
        <f>'4B Biological treatment '!U272</f>
        <v>19.36530325505521</v>
      </c>
      <c r="F219" s="178">
        <f>'4B Biological treatment '!W272</f>
        <v>1.1619181953033124</v>
      </c>
      <c r="G219" s="952">
        <f>'4C2 Open-burning '!R177</f>
        <v>10.179148263724461</v>
      </c>
      <c r="H219" s="952">
        <f>'4C2 Open-burning '!Z177</f>
        <v>3.4249717523266137</v>
      </c>
      <c r="I219" s="952">
        <f>'4C2 Open-burning '!AH177</f>
        <v>4.76813875018244E-2</v>
      </c>
      <c r="J219" s="987">
        <f>'4D Wastewater treatment and dis'!AV214</f>
        <v>225.02224698366075</v>
      </c>
      <c r="K219" s="770">
        <f>'4D Wastewater treatment and dis'!AW214</f>
        <v>3.5467410482102202</v>
      </c>
      <c r="L219" s="771">
        <f t="shared" si="150"/>
        <v>8314.2102947501699</v>
      </c>
      <c r="M219" s="772">
        <f t="shared" si="146"/>
        <v>81.33427367123187</v>
      </c>
      <c r="N219" s="771">
        <f t="shared" si="147"/>
        <v>766.86600890018622</v>
      </c>
      <c r="O219" s="773">
        <f t="shared" si="148"/>
        <v>96.884785188148896</v>
      </c>
      <c r="P219" s="771">
        <f t="shared" si="149"/>
        <v>5824.9569116020448</v>
      </c>
      <c r="Q219" s="519">
        <f t="shared" si="141"/>
        <v>8314.2102947501699</v>
      </c>
      <c r="R219" s="521">
        <f t="shared" si="142"/>
        <v>848.20028257141803</v>
      </c>
      <c r="S219" s="518">
        <f t="shared" si="143"/>
        <v>96.884785188148896</v>
      </c>
      <c r="T219" s="519">
        <f t="shared" si="144"/>
        <v>5824.9569116020448</v>
      </c>
      <c r="U219" s="519">
        <f t="shared" si="145"/>
        <v>15084.252274111783</v>
      </c>
    </row>
    <row r="220" spans="1:21">
      <c r="A220">
        <f>'Input data'!A139</f>
        <v>2039</v>
      </c>
      <c r="C220" s="314">
        <f>'4A SWD Case 3'!BN109</f>
        <v>381.23626746472752</v>
      </c>
      <c r="D220" s="3">
        <f>'4B Biological treatment '!T273</f>
        <v>3.9031511201606124</v>
      </c>
      <c r="E220" s="178">
        <f>'4B Biological treatment '!U273</f>
        <v>19.515755600803061</v>
      </c>
      <c r="F220" s="178">
        <f>'4B Biological treatment '!W273</f>
        <v>1.1709453360481836</v>
      </c>
      <c r="G220" s="952">
        <f>'4C2 Open-burning '!R178</f>
        <v>10.154812472932907</v>
      </c>
      <c r="H220" s="952">
        <f>'4C2 Open-burning '!Z178</f>
        <v>3.4167835037745573</v>
      </c>
      <c r="I220" s="952">
        <f>'4C2 Open-burning '!AH178</f>
        <v>4.7567393261753188E-2</v>
      </c>
      <c r="J220" s="987">
        <f>'4D Wastewater treatment and dis'!AV215</f>
        <v>226.66971872453522</v>
      </c>
      <c r="K220" s="770">
        <f>'4D Wastewater treatment and dis'!AW215</f>
        <v>3.5727080613720332</v>
      </c>
      <c r="L220" s="771">
        <f t="shared" si="150"/>
        <v>8005.9616167592776</v>
      </c>
      <c r="M220" s="772">
        <f t="shared" si="146"/>
        <v>81.966173523372859</v>
      </c>
      <c r="N220" s="771">
        <f t="shared" si="147"/>
        <v>772.82392179180124</v>
      </c>
      <c r="O220" s="773">
        <f t="shared" si="148"/>
        <v>96.653157963342096</v>
      </c>
      <c r="P220" s="771">
        <f t="shared" si="149"/>
        <v>5867.6035922405699</v>
      </c>
      <c r="Q220" s="519">
        <f t="shared" si="141"/>
        <v>8005.9616167592776</v>
      </c>
      <c r="R220" s="521">
        <f t="shared" si="142"/>
        <v>854.79009531517409</v>
      </c>
      <c r="S220" s="518">
        <f t="shared" si="143"/>
        <v>96.653157963342096</v>
      </c>
      <c r="T220" s="519">
        <f t="shared" si="144"/>
        <v>5867.6035922405699</v>
      </c>
      <c r="U220" s="519">
        <f t="shared" si="145"/>
        <v>14825.008462278365</v>
      </c>
    </row>
    <row r="221" spans="1:21">
      <c r="A221">
        <f>'Input data'!A140</f>
        <v>2040</v>
      </c>
      <c r="C221" s="314">
        <f>'4A SWD Case 3'!BN110</f>
        <v>367.2834245854902</v>
      </c>
      <c r="D221" s="3">
        <f>'4B Biological treatment '!T274</f>
        <v>3.9350839516090153</v>
      </c>
      <c r="E221" s="178">
        <f>'4B Biological treatment '!U274</f>
        <v>19.675419758045074</v>
      </c>
      <c r="F221" s="178">
        <f>'4B Biological treatment '!W274</f>
        <v>1.1805251854827044</v>
      </c>
      <c r="G221" s="952">
        <f>'4C2 Open-burning '!R179</f>
        <v>10.130803750690211</v>
      </c>
      <c r="H221" s="952">
        <f>'4C2 Open-burning '!Z179</f>
        <v>3.4087053037758679</v>
      </c>
      <c r="I221" s="952">
        <f>'4C2 Open-burning '!AH179</f>
        <v>4.7454931083286134E-2</v>
      </c>
      <c r="J221" s="987">
        <f>'4D Wastewater treatment and dis'!AV216</f>
        <v>228.32678738817191</v>
      </c>
      <c r="K221" s="770">
        <f>'4D Wastewater treatment and dis'!AW216</f>
        <v>3.5988263386881876</v>
      </c>
      <c r="L221" s="771">
        <f t="shared" si="150"/>
        <v>7712.9519162952938</v>
      </c>
      <c r="M221" s="772">
        <f t="shared" si="146"/>
        <v>82.636762983789325</v>
      </c>
      <c r="N221" s="771">
        <f t="shared" si="147"/>
        <v>779.14662241858491</v>
      </c>
      <c r="O221" s="773">
        <f t="shared" si="148"/>
        <v>96.424643765802131</v>
      </c>
      <c r="P221" s="771">
        <f t="shared" si="149"/>
        <v>5910.4987001449481</v>
      </c>
      <c r="Q221" s="519">
        <f t="shared" si="141"/>
        <v>7712.9519162952938</v>
      </c>
      <c r="R221" s="521">
        <f t="shared" si="142"/>
        <v>861.78338540237428</v>
      </c>
      <c r="S221" s="518">
        <f t="shared" si="143"/>
        <v>96.424643765802131</v>
      </c>
      <c r="T221" s="519">
        <f t="shared" si="144"/>
        <v>5910.4987001449481</v>
      </c>
      <c r="U221" s="519">
        <f t="shared" si="145"/>
        <v>14581.658645608419</v>
      </c>
    </row>
    <row r="222" spans="1:21">
      <c r="A222">
        <f>'Input data'!A141</f>
        <v>2041</v>
      </c>
      <c r="C222" s="314">
        <f>'4A SWD Case 3'!BN111</f>
        <v>354.27406440851462</v>
      </c>
      <c r="D222" s="3">
        <f>'4B Biological treatment '!T275</f>
        <v>3.9683312042729773</v>
      </c>
      <c r="E222" s="178">
        <f>'4B Biological treatment '!U275</f>
        <v>19.841656021364887</v>
      </c>
      <c r="F222" s="178">
        <f>'4B Biological treatment '!W275</f>
        <v>1.190499361281893</v>
      </c>
      <c r="G222" s="952">
        <f>'4C2 Open-burning '!R180</f>
        <v>10.11058891527121</v>
      </c>
      <c r="H222" s="952">
        <f>'4C2 Open-burning '!Z180</f>
        <v>3.4019036305420918</v>
      </c>
      <c r="I222" s="952">
        <f>'4C2 Open-burning '!AH180</f>
        <v>4.7360240311924262E-2</v>
      </c>
      <c r="J222" s="987">
        <f>'4D Wastewater treatment and dis'!AV217</f>
        <v>229.7471319570034</v>
      </c>
      <c r="K222" s="770">
        <f>'4D Wastewater treatment and dis'!AW217</f>
        <v>3.6212134335306052</v>
      </c>
      <c r="L222" s="771">
        <f t="shared" si="150"/>
        <v>7439.7553525788071</v>
      </c>
      <c r="M222" s="772">
        <f t="shared" si="146"/>
        <v>83.33495528973252</v>
      </c>
      <c r="N222" s="771">
        <f t="shared" si="147"/>
        <v>785.72957844604946</v>
      </c>
      <c r="O222" s="773">
        <f t="shared" si="148"/>
        <v>96.232239653351655</v>
      </c>
      <c r="P222" s="771">
        <f t="shared" si="149"/>
        <v>5947.2659354915595</v>
      </c>
      <c r="Q222" s="519">
        <f t="shared" si="141"/>
        <v>7439.7553525788071</v>
      </c>
      <c r="R222" s="521">
        <f t="shared" si="142"/>
        <v>869.06453373578199</v>
      </c>
      <c r="S222" s="518">
        <f t="shared" si="143"/>
        <v>96.232239653351655</v>
      </c>
      <c r="T222" s="519">
        <f t="shared" si="144"/>
        <v>5947.2659354915595</v>
      </c>
      <c r="U222" s="519">
        <f t="shared" si="145"/>
        <v>14352.3180614595</v>
      </c>
    </row>
    <row r="223" spans="1:21">
      <c r="A223">
        <f>'Input data'!A142</f>
        <v>2042</v>
      </c>
      <c r="C223" s="314">
        <f>'4A SWD Case 3'!BN112</f>
        <v>342.08676457236118</v>
      </c>
      <c r="D223" s="3">
        <f>'4B Biological treatment '!T276</f>
        <v>4.0029971628109227</v>
      </c>
      <c r="E223" s="178">
        <f>'4B Biological treatment '!U276</f>
        <v>20.014985814054612</v>
      </c>
      <c r="F223" s="178">
        <f>'4B Biological treatment '!W276</f>
        <v>1.2008991488432765</v>
      </c>
      <c r="G223" s="952">
        <f>'4C2 Open-burning '!R181</f>
        <v>10.09061267071135</v>
      </c>
      <c r="H223" s="952">
        <f>'4C2 Open-burning '!Z181</f>
        <v>3.3951822358278685</v>
      </c>
      <c r="I223" s="952">
        <f>'4C2 Open-burning '!AH181</f>
        <v>4.7266667153049627E-2</v>
      </c>
      <c r="J223" s="987">
        <f>'4D Wastewater treatment and dis'!AV218</f>
        <v>231.17387447434314</v>
      </c>
      <c r="K223" s="770">
        <f>'4D Wastewater treatment and dis'!AW218</f>
        <v>3.643701371142583</v>
      </c>
      <c r="L223" s="771">
        <f t="shared" si="150"/>
        <v>7183.822056019585</v>
      </c>
      <c r="M223" s="772">
        <f t="shared" si="146"/>
        <v>84.062940419029374</v>
      </c>
      <c r="N223" s="771">
        <f t="shared" si="147"/>
        <v>792.59343823656263</v>
      </c>
      <c r="O223" s="773">
        <f t="shared" si="148"/>
        <v>96.042106440541971</v>
      </c>
      <c r="P223" s="771">
        <f t="shared" si="149"/>
        <v>5984.1987890154069</v>
      </c>
      <c r="Q223" s="519">
        <f t="shared" si="141"/>
        <v>7183.822056019585</v>
      </c>
      <c r="R223" s="521">
        <f t="shared" si="142"/>
        <v>876.65637865559199</v>
      </c>
      <c r="S223" s="518">
        <f t="shared" si="143"/>
        <v>96.042106440541971</v>
      </c>
      <c r="T223" s="519">
        <f t="shared" si="144"/>
        <v>5984.1987890154069</v>
      </c>
      <c r="U223" s="519">
        <f t="shared" si="145"/>
        <v>14140.719330131125</v>
      </c>
    </row>
    <row r="224" spans="1:21">
      <c r="A224">
        <f>'Input data'!A143</f>
        <v>2043</v>
      </c>
      <c r="C224" s="314">
        <f>'4A SWD Case 3'!BN113</f>
        <v>330.6860052940624</v>
      </c>
      <c r="D224" s="3">
        <f>'4B Biological treatment '!T277</f>
        <v>4.0389949233408302</v>
      </c>
      <c r="E224" s="178">
        <f>'4B Biological treatment '!U277</f>
        <v>20.194974616704151</v>
      </c>
      <c r="F224" s="178">
        <f>'4B Biological treatment '!W277</f>
        <v>1.211698477002249</v>
      </c>
      <c r="G224" s="952">
        <f>'4C2 Open-burning '!R182</f>
        <v>10.070827702379548</v>
      </c>
      <c r="H224" s="952">
        <f>'4C2 Open-burning '!Z182</f>
        <v>3.3885251997083952</v>
      </c>
      <c r="I224" s="952">
        <f>'4C2 Open-burning '!AH182</f>
        <v>4.7173989974439126E-2</v>
      </c>
      <c r="J224" s="987">
        <f>'4D Wastewater treatment and dis'!AV219</f>
        <v>232.61021391444527</v>
      </c>
      <c r="K224" s="770">
        <f>'4D Wastewater treatment and dis'!AW219</f>
        <v>3.6663405729089016</v>
      </c>
      <c r="L224" s="771">
        <f t="shared" si="150"/>
        <v>6944.4061111753108</v>
      </c>
      <c r="M224" s="772">
        <f t="shared" si="146"/>
        <v>84.818893390157427</v>
      </c>
      <c r="N224" s="771">
        <f t="shared" si="147"/>
        <v>799.7209948214844</v>
      </c>
      <c r="O224" s="773">
        <f t="shared" si="148"/>
        <v>95.85379378833197</v>
      </c>
      <c r="P224" s="771">
        <f t="shared" si="149"/>
        <v>6021.38006980511</v>
      </c>
      <c r="Q224" s="519">
        <f t="shared" si="141"/>
        <v>6944.4061111753108</v>
      </c>
      <c r="R224" s="521">
        <f t="shared" si="142"/>
        <v>884.53988821164182</v>
      </c>
      <c r="S224" s="518">
        <f t="shared" si="143"/>
        <v>95.85379378833197</v>
      </c>
      <c r="T224" s="519">
        <f t="shared" si="144"/>
        <v>6021.38006980511</v>
      </c>
      <c r="U224" s="519">
        <f t="shared" si="145"/>
        <v>13946.179862980394</v>
      </c>
    </row>
    <row r="225" spans="1:21">
      <c r="A225">
        <f>'Input data'!A144</f>
        <v>2044</v>
      </c>
      <c r="C225" s="314">
        <f>'4A SWD Case 3'!BN114</f>
        <v>320.0378244252089</v>
      </c>
      <c r="D225" s="3">
        <f>'4B Biological treatment '!T278</f>
        <v>4.0765178470001979</v>
      </c>
      <c r="E225" s="178">
        <f>'4B Biological treatment '!U278</f>
        <v>20.382589235000989</v>
      </c>
      <c r="F225" s="178">
        <f>'4B Biological treatment '!W278</f>
        <v>1.2229553541000593</v>
      </c>
      <c r="G225" s="952">
        <f>'4C2 Open-burning '!R183</f>
        <v>10.051275583241116</v>
      </c>
      <c r="H225" s="952">
        <f>'4C2 Open-burning '!Z183</f>
        <v>3.3819465102137247</v>
      </c>
      <c r="I225" s="952">
        <f>'4C2 Open-burning '!AH183</f>
        <v>4.7082403513080281E-2</v>
      </c>
      <c r="J225" s="987">
        <f>'4D Wastewater treatment and dis'!AV220</f>
        <v>234.05295130305572</v>
      </c>
      <c r="K225" s="770">
        <f>'4D Wastewater treatment and dis'!AW220</f>
        <v>3.6890806174447812</v>
      </c>
      <c r="L225" s="771">
        <f t="shared" si="150"/>
        <v>6720.7943129293872</v>
      </c>
      <c r="M225" s="772">
        <f t="shared" si="146"/>
        <v>85.606874787004159</v>
      </c>
      <c r="N225" s="771">
        <f t="shared" si="147"/>
        <v>807.15053370603914</v>
      </c>
      <c r="O225" s="773">
        <f t="shared" si="148"/>
        <v>95.667697386784226</v>
      </c>
      <c r="P225" s="771">
        <f t="shared" si="149"/>
        <v>6058.7269687720527</v>
      </c>
      <c r="Q225" s="519">
        <f t="shared" si="141"/>
        <v>6720.7943129293872</v>
      </c>
      <c r="R225" s="521">
        <f t="shared" si="142"/>
        <v>892.75740849304327</v>
      </c>
      <c r="S225" s="518">
        <f t="shared" si="143"/>
        <v>95.667697386784226</v>
      </c>
      <c r="T225" s="519">
        <f t="shared" si="144"/>
        <v>6058.7269687720527</v>
      </c>
      <c r="U225" s="519">
        <f t="shared" si="145"/>
        <v>13767.946387581267</v>
      </c>
    </row>
    <row r="226" spans="1:21">
      <c r="A226">
        <f>'Input data'!A145</f>
        <v>2045</v>
      </c>
      <c r="C226" s="314">
        <f>'4A SWD Case 3'!BN115</f>
        <v>310.10975964267737</v>
      </c>
      <c r="D226" s="3">
        <f>'4B Biological treatment '!T279</f>
        <v>4.1163697946977118</v>
      </c>
      <c r="E226" s="178">
        <f>'4B Biological treatment '!U279</f>
        <v>20.581848973488558</v>
      </c>
      <c r="F226" s="178">
        <f>'4B Biological treatment '!W279</f>
        <v>1.2349109384093133</v>
      </c>
      <c r="G226" s="952">
        <f>'4C2 Open-burning '!R184</f>
        <v>10.031868174032496</v>
      </c>
      <c r="H226" s="952">
        <f>'4C2 Open-burning '!Z184</f>
        <v>3.3754165111800871</v>
      </c>
      <c r="I226" s="952">
        <f>'4C2 Open-burning '!AH184</f>
        <v>4.6991494905119391E-2</v>
      </c>
      <c r="J226" s="987">
        <f>'4D Wastewater treatment and dis'!AV221</f>
        <v>235.50848458868253</v>
      </c>
      <c r="K226" s="770">
        <f>'4D Wastewater treatment and dis'!AW221</f>
        <v>3.7120223475197802</v>
      </c>
      <c r="L226" s="771">
        <f t="shared" si="150"/>
        <v>6512.3049524962253</v>
      </c>
      <c r="M226" s="772">
        <f t="shared" si="146"/>
        <v>86.443765688651951</v>
      </c>
      <c r="N226" s="771">
        <f t="shared" si="147"/>
        <v>815.04121935014678</v>
      </c>
      <c r="O226" s="773">
        <f t="shared" si="148"/>
        <v>95.482978329401334</v>
      </c>
      <c r="P226" s="771">
        <f t="shared" si="149"/>
        <v>6096.4051040934646</v>
      </c>
      <c r="Q226" s="519">
        <f t="shared" si="141"/>
        <v>6512.3049524962253</v>
      </c>
      <c r="R226" s="521">
        <f t="shared" si="142"/>
        <v>901.48498503879875</v>
      </c>
      <c r="S226" s="518">
        <f t="shared" si="143"/>
        <v>95.482978329401334</v>
      </c>
      <c r="T226" s="519">
        <f t="shared" si="144"/>
        <v>6096.4051040934646</v>
      </c>
      <c r="U226" s="519">
        <f t="shared" si="145"/>
        <v>13605.67801995789</v>
      </c>
    </row>
    <row r="227" spans="1:21">
      <c r="A227">
        <f>'Input data'!A146</f>
        <v>2046</v>
      </c>
      <c r="C227" s="314">
        <f>'4A SWD Case 3'!BN116</f>
        <v>300.87107194575378</v>
      </c>
      <c r="D227" s="3">
        <f>'4B Biological treatment '!T280</f>
        <v>4.1581922879200386</v>
      </c>
      <c r="E227" s="178">
        <f>'4B Biological treatment '!U280</f>
        <v>20.790961439600192</v>
      </c>
      <c r="F227" s="178">
        <f>'4B Biological treatment '!W280</f>
        <v>1.2474576863760114</v>
      </c>
      <c r="G227" s="952">
        <f>'4C2 Open-burning '!R185</f>
        <v>10.016107809927815</v>
      </c>
      <c r="H227" s="952">
        <f>'4C2 Open-burning '!Z185</f>
        <v>3.3701136311682811</v>
      </c>
      <c r="I227" s="952">
        <f>'4C2 Open-burning '!AH185</f>
        <v>4.6917669865088968E-2</v>
      </c>
      <c r="J227" s="987">
        <f>'4D Wastewater treatment and dis'!AV222</f>
        <v>236.70809993397941</v>
      </c>
      <c r="K227" s="770">
        <f>'4D Wastewater treatment and dis'!AW222</f>
        <v>3.7309303668123635</v>
      </c>
      <c r="L227" s="771">
        <f t="shared" si="150"/>
        <v>6318.2925108608297</v>
      </c>
      <c r="M227" s="772">
        <f t="shared" si="146"/>
        <v>87.322038046320813</v>
      </c>
      <c r="N227" s="771">
        <f t="shared" si="147"/>
        <v>823.32207300816754</v>
      </c>
      <c r="O227" s="773">
        <f t="shared" si="148"/>
        <v>95.3329717226393</v>
      </c>
      <c r="P227" s="771">
        <f t="shared" si="149"/>
        <v>6127.4585123254001</v>
      </c>
      <c r="Q227" s="519">
        <f t="shared" si="141"/>
        <v>6318.2925108608297</v>
      </c>
      <c r="R227" s="521">
        <f t="shared" si="142"/>
        <v>910.64411105448835</v>
      </c>
      <c r="S227" s="518">
        <f t="shared" si="143"/>
        <v>95.3329717226393</v>
      </c>
      <c r="T227" s="519">
        <f t="shared" si="144"/>
        <v>6127.4585123254001</v>
      </c>
      <c r="U227" s="519">
        <f t="shared" si="145"/>
        <v>13451.728105963357</v>
      </c>
    </row>
    <row r="228" spans="1:21">
      <c r="A228">
        <f>'Input data'!A147</f>
        <v>2047</v>
      </c>
      <c r="C228" s="314">
        <f>'4A SWD Case 3'!BN117</f>
        <v>292.29048505051674</v>
      </c>
      <c r="D228" s="3">
        <f>'4B Biological treatment '!T281</f>
        <v>4.2020113978317841</v>
      </c>
      <c r="E228" s="178">
        <f>'4B Biological treatment '!U281</f>
        <v>21.010056989158919</v>
      </c>
      <c r="F228" s="178">
        <f>'4B Biological treatment '!W281</f>
        <v>1.260603419349535</v>
      </c>
      <c r="G228" s="952">
        <f>'4C2 Open-burning '!R186</f>
        <v>10.000431486540728</v>
      </c>
      <c r="H228" s="952">
        <f>'4C2 Open-burning '!Z186</f>
        <v>3.364839028285008</v>
      </c>
      <c r="I228" s="952">
        <f>'4C2 Open-burning '!AH186</f>
        <v>4.6844238490414199E-2</v>
      </c>
      <c r="J228" s="987">
        <f>'4D Wastewater treatment and dis'!AV223</f>
        <v>237.91731220203872</v>
      </c>
      <c r="K228" s="770">
        <f>'4D Wastewater treatment and dis'!AW223</f>
        <v>3.7499896502592862</v>
      </c>
      <c r="L228" s="771">
        <f t="shared" si="150"/>
        <v>6138.1001860608512</v>
      </c>
      <c r="M228" s="772">
        <f t="shared" si="146"/>
        <v>88.242239354467472</v>
      </c>
      <c r="N228" s="771">
        <f t="shared" si="147"/>
        <v>831.99825677069316</v>
      </c>
      <c r="O228" s="773">
        <f t="shared" si="148"/>
        <v>95.183765012554304</v>
      </c>
      <c r="P228" s="771">
        <f t="shared" si="149"/>
        <v>6158.7603478231922</v>
      </c>
      <c r="Q228" s="519">
        <f t="shared" si="141"/>
        <v>6138.1001860608512</v>
      </c>
      <c r="R228" s="521">
        <f t="shared" si="142"/>
        <v>920.24049612516069</v>
      </c>
      <c r="S228" s="518">
        <f t="shared" si="143"/>
        <v>95.183765012554304</v>
      </c>
      <c r="T228" s="519">
        <f t="shared" si="144"/>
        <v>6158.7603478231922</v>
      </c>
      <c r="U228" s="519">
        <f t="shared" si="145"/>
        <v>13312.284795021758</v>
      </c>
    </row>
    <row r="229" spans="1:21">
      <c r="A229">
        <f>'Input data'!A148</f>
        <v>2048</v>
      </c>
      <c r="C229" s="314">
        <f>'4A SWD Case 3'!BN118</f>
        <v>284.33987852087125</v>
      </c>
      <c r="D229" s="3">
        <f>'4B Biological treatment '!T282</f>
        <v>4.2463345502592489</v>
      </c>
      <c r="E229" s="178">
        <f>'4B Biological treatment '!U282</f>
        <v>21.231672751296244</v>
      </c>
      <c r="F229" s="178">
        <f>'4B Biological treatment '!W282</f>
        <v>1.2739003650777745</v>
      </c>
      <c r="G229" s="952">
        <f>'4C2 Open-burning '!R187</f>
        <v>9.9848806539350701</v>
      </c>
      <c r="H229" s="952">
        <f>'4C2 Open-burning '!Z187</f>
        <v>3.3596066492077385</v>
      </c>
      <c r="I229" s="952">
        <f>'4C2 Open-burning '!AH187</f>
        <v>4.6771394942384859E-2</v>
      </c>
      <c r="J229" s="987">
        <f>'4D Wastewater treatment and dis'!AV224</f>
        <v>239.13292241860617</v>
      </c>
      <c r="K229" s="770">
        <f>'4D Wastewater treatment and dis'!AW224</f>
        <v>3.76914977647577</v>
      </c>
      <c r="L229" s="771">
        <f t="shared" si="150"/>
        <v>5971.1374489382961</v>
      </c>
      <c r="M229" s="772">
        <f t="shared" si="146"/>
        <v>89.173025555444227</v>
      </c>
      <c r="N229" s="771">
        <f t="shared" si="147"/>
        <v>840.77424095133119</v>
      </c>
      <c r="O229" s="773">
        <f t="shared" si="148"/>
        <v>95.035752719436886</v>
      </c>
      <c r="P229" s="771">
        <f t="shared" si="149"/>
        <v>6190.2278014982176</v>
      </c>
      <c r="Q229" s="519">
        <f t="shared" si="141"/>
        <v>5971.1374489382961</v>
      </c>
      <c r="R229" s="521">
        <f t="shared" si="142"/>
        <v>929.94726650677546</v>
      </c>
      <c r="S229" s="518">
        <f t="shared" si="143"/>
        <v>95.035752719436886</v>
      </c>
      <c r="T229" s="519">
        <f t="shared" si="144"/>
        <v>6190.2278014982176</v>
      </c>
      <c r="U229" s="519">
        <f t="shared" si="145"/>
        <v>13186.348269662725</v>
      </c>
    </row>
    <row r="230" spans="1:21">
      <c r="A230">
        <f>'Input data'!A149</f>
        <v>2049</v>
      </c>
      <c r="C230" s="314">
        <f>'4A SWD Case 3'!BN119</f>
        <v>276.9916841687434</v>
      </c>
      <c r="D230" s="3">
        <f>'4B Biological treatment '!T283</f>
        <v>4.2928433353195272</v>
      </c>
      <c r="E230" s="178">
        <f>'4B Biological treatment '!U283</f>
        <v>21.464216676597637</v>
      </c>
      <c r="F230" s="178">
        <f>'4B Biological treatment '!W283</f>
        <v>1.2878530005958579</v>
      </c>
      <c r="G230" s="952">
        <f>'4C2 Open-burning '!R188</f>
        <v>9.9694945657495211</v>
      </c>
      <c r="H230" s="952">
        <f>'4C2 Open-burning '!Z188</f>
        <v>3.3544297015841229</v>
      </c>
      <c r="I230" s="952">
        <f>'4C2 Open-burning '!AH188</f>
        <v>4.6699323093748288E-2</v>
      </c>
      <c r="J230" s="987">
        <f>'4D Wastewater treatment and dis'!AV225</f>
        <v>240.35173160942776</v>
      </c>
      <c r="K230" s="770">
        <f>'4D Wastewater treatment and dis'!AW225</f>
        <v>3.7883603240770336</v>
      </c>
      <c r="L230" s="771">
        <f t="shared" si="150"/>
        <v>5816.8253675436117</v>
      </c>
      <c r="M230" s="772">
        <f t="shared" si="146"/>
        <v>90.149710041710065</v>
      </c>
      <c r="N230" s="771">
        <f t="shared" si="147"/>
        <v>849.98298039326642</v>
      </c>
      <c r="O230" s="773">
        <f t="shared" si="148"/>
        <v>94.889308458078091</v>
      </c>
      <c r="P230" s="771">
        <f t="shared" si="149"/>
        <v>6221.7780642618636</v>
      </c>
      <c r="Q230" s="519">
        <f t="shared" si="141"/>
        <v>5816.8253675436117</v>
      </c>
      <c r="R230" s="521">
        <f t="shared" si="142"/>
        <v>940.13269043497644</v>
      </c>
      <c r="S230" s="518">
        <f t="shared" si="143"/>
        <v>94.889308458078091</v>
      </c>
      <c r="T230" s="519">
        <f t="shared" si="144"/>
        <v>6221.7780642618636</v>
      </c>
      <c r="U230" s="519">
        <f t="shared" si="145"/>
        <v>13073.625430698528</v>
      </c>
    </row>
    <row r="231" spans="1:21">
      <c r="A231">
        <f>'Input data'!A150</f>
        <v>2050</v>
      </c>
      <c r="C231" s="314">
        <f>'4A SWD Case 3'!BN120</f>
        <v>270.22011603134604</v>
      </c>
      <c r="D231" s="3">
        <f>'4B Biological treatment '!T284</f>
        <v>4.3417115607766599</v>
      </c>
      <c r="E231" s="178">
        <f>'4B Biological treatment '!U284</f>
        <v>21.708557803883298</v>
      </c>
      <c r="F231" s="178">
        <f>'4B Biological treatment '!W284</f>
        <v>1.3025134682329977</v>
      </c>
      <c r="G231" s="952">
        <f>'4C2 Open-burning '!R189</f>
        <v>9.9541915956313378</v>
      </c>
      <c r="H231" s="952">
        <f>'4C2 Open-burning '!Z189</f>
        <v>3.3492807206454862</v>
      </c>
      <c r="I231" s="952">
        <f>'4C2 Open-burning '!AH189</f>
        <v>4.6627640588569122E-2</v>
      </c>
      <c r="J231" s="987">
        <f>'4D Wastewater treatment and dis'!AV226</f>
        <v>241.58013772301177</v>
      </c>
      <c r="K231" s="770">
        <f>'4D Wastewater treatment and dis'!AW226</f>
        <v>3.8077221358326381</v>
      </c>
      <c r="L231" s="771">
        <f t="shared" si="150"/>
        <v>5674.6224366582665</v>
      </c>
      <c r="M231" s="772">
        <f t="shared" si="146"/>
        <v>91.175942776309853</v>
      </c>
      <c r="N231" s="771">
        <f t="shared" si="147"/>
        <v>859.65888903377856</v>
      </c>
      <c r="O231" s="773">
        <f t="shared" si="148"/>
        <v>94.743655311642982</v>
      </c>
      <c r="P231" s="771">
        <f t="shared" si="149"/>
        <v>6253.5767542913654</v>
      </c>
      <c r="Q231" s="471">
        <f t="shared" si="141"/>
        <v>5674.6224366582665</v>
      </c>
      <c r="R231" s="517">
        <f t="shared" si="142"/>
        <v>950.83483181008842</v>
      </c>
      <c r="S231" s="514">
        <f t="shared" si="143"/>
        <v>94.743655311642982</v>
      </c>
      <c r="T231" s="471">
        <f t="shared" si="144"/>
        <v>6253.5767542913654</v>
      </c>
      <c r="U231" s="471">
        <f t="shared" si="145"/>
        <v>12973.777678071365</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522" t="s">
        <v>817</v>
      </c>
    </row>
    <row r="4" spans="63:152" ht="31.2">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778" t="s">
        <v>750</v>
      </c>
      <c r="C1" s="1779"/>
      <c r="D1" s="1779"/>
      <c r="E1" s="1779"/>
      <c r="F1" s="1780"/>
      <c r="H1" s="1778" t="s">
        <v>751</v>
      </c>
      <c r="I1" s="1779"/>
      <c r="J1" s="1779"/>
      <c r="K1" s="1779"/>
      <c r="L1" s="1780"/>
      <c r="M1" s="1751" t="s">
        <v>754</v>
      </c>
    </row>
    <row r="2" spans="1:13">
      <c r="B2" s="1743" t="s">
        <v>518</v>
      </c>
      <c r="C2" s="1744"/>
      <c r="D2" s="1744"/>
      <c r="E2" s="1744"/>
      <c r="F2" s="1745"/>
      <c r="H2" s="1743" t="s">
        <v>518</v>
      </c>
      <c r="I2" s="1744"/>
      <c r="J2" s="1744"/>
      <c r="K2" s="1744"/>
      <c r="L2" s="1745"/>
      <c r="M2" s="1752"/>
    </row>
    <row r="3" spans="1:13">
      <c r="B3" s="509" t="s">
        <v>187</v>
      </c>
      <c r="C3" s="512" t="s">
        <v>194</v>
      </c>
      <c r="D3" s="512" t="s">
        <v>513</v>
      </c>
      <c r="E3" s="512" t="s">
        <v>517</v>
      </c>
      <c r="F3" s="513">
        <v>4</v>
      </c>
      <c r="H3" s="509" t="s">
        <v>187</v>
      </c>
      <c r="I3" s="512" t="s">
        <v>194</v>
      </c>
      <c r="J3" s="512" t="s">
        <v>513</v>
      </c>
      <c r="K3" s="512" t="s">
        <v>517</v>
      </c>
      <c r="L3" s="513">
        <v>4</v>
      </c>
      <c r="M3" s="1752"/>
    </row>
    <row r="4" spans="1:13" ht="57.6">
      <c r="B4" s="509" t="s">
        <v>233</v>
      </c>
      <c r="C4" s="512" t="s">
        <v>512</v>
      </c>
      <c r="D4" s="512" t="s">
        <v>38</v>
      </c>
      <c r="E4" s="512" t="s">
        <v>193</v>
      </c>
      <c r="F4" s="513" t="s">
        <v>627</v>
      </c>
      <c r="H4" s="509" t="s">
        <v>233</v>
      </c>
      <c r="I4" s="512" t="s">
        <v>512</v>
      </c>
      <c r="J4" s="512" t="s">
        <v>38</v>
      </c>
      <c r="K4" s="512" t="s">
        <v>193</v>
      </c>
      <c r="L4" s="513" t="s">
        <v>627</v>
      </c>
      <c r="M4" s="1752"/>
    </row>
    <row r="5" spans="1:13" ht="15" thickBot="1">
      <c r="B5" s="1740" t="s">
        <v>515</v>
      </c>
      <c r="C5" s="1741"/>
      <c r="D5" s="1741"/>
      <c r="E5" s="1741"/>
      <c r="F5" s="1742"/>
      <c r="H5" s="1740" t="s">
        <v>515</v>
      </c>
      <c r="I5" s="1741"/>
      <c r="J5" s="1741"/>
      <c r="K5" s="1741"/>
      <c r="L5" s="1742"/>
      <c r="M5" s="1753"/>
    </row>
    <row r="7" spans="1:13">
      <c r="A7" s="413">
        <v>2000</v>
      </c>
      <c r="B7" s="471">
        <f>'Output data (results)'!Q10</f>
        <v>15691.282909366764</v>
      </c>
      <c r="C7" s="471">
        <f>'Output data (results)'!R10</f>
        <v>317.52654236095043</v>
      </c>
      <c r="D7" s="471">
        <f>'Output data (results)'!S10</f>
        <v>252.83335953932928</v>
      </c>
      <c r="E7" s="471">
        <f>'Output data (results)'!T10</f>
        <v>2831.8730929925982</v>
      </c>
      <c r="F7" s="471">
        <f>'Output data (results)'!U10</f>
        <v>19093.515904259642</v>
      </c>
      <c r="H7" s="471">
        <v>10533.924430337305</v>
      </c>
      <c r="I7" s="471">
        <v>0</v>
      </c>
      <c r="J7" s="471">
        <v>280.4959266912</v>
      </c>
      <c r="K7" s="471">
        <v>2743.4280331618288</v>
      </c>
      <c r="L7" s="471">
        <v>13557.848390190333</v>
      </c>
      <c r="M7" s="1414">
        <f>(F7-L7)/L7</f>
        <v>0.4082998536902504</v>
      </c>
    </row>
    <row r="8" spans="1:13">
      <c r="A8" s="53">
        <v>2001</v>
      </c>
      <c r="B8" s="519">
        <f>'Output data (results)'!Q11</f>
        <v>16186.706940010718</v>
      </c>
      <c r="C8" s="519">
        <f>'Output data (results)'!R11</f>
        <v>325.15338933708335</v>
      </c>
      <c r="D8" s="519">
        <f>'Output data (results)'!S11</f>
        <v>258.06241311161995</v>
      </c>
      <c r="E8" s="519">
        <f>'Output data (results)'!T11</f>
        <v>2890.4413774158538</v>
      </c>
      <c r="F8" s="519">
        <f>'Output data (results)'!U11</f>
        <v>19660.364119875274</v>
      </c>
      <c r="H8" s="519">
        <v>10964.910265635064</v>
      </c>
      <c r="I8" s="519">
        <v>0</v>
      </c>
      <c r="J8" s="519">
        <v>286.29709244776791</v>
      </c>
      <c r="K8" s="519">
        <v>2800.1671129385845</v>
      </c>
      <c r="L8" s="519">
        <v>14051.374471021418</v>
      </c>
      <c r="M8" s="1414">
        <f t="shared" ref="M8:M24" si="0">(F8-L8)/L8</f>
        <v>0.39917729474945302</v>
      </c>
    </row>
    <row r="9" spans="1:13">
      <c r="A9" s="53">
        <v>2002</v>
      </c>
      <c r="B9" s="519">
        <f>'Output data (results)'!Q12</f>
        <v>16687.770624896853</v>
      </c>
      <c r="C9" s="519">
        <f>'Output data (results)'!R12</f>
        <v>333.64890933852411</v>
      </c>
      <c r="D9" s="519">
        <f>'Output data (results)'!S12</f>
        <v>261.64230363418824</v>
      </c>
      <c r="E9" s="519">
        <f>'Output data (results)'!T12</f>
        <v>2930.5381259825444</v>
      </c>
      <c r="F9" s="519">
        <f>'Output data (results)'!U12</f>
        <v>20213.59996385211</v>
      </c>
      <c r="H9" s="519">
        <v>11393.849070741173</v>
      </c>
      <c r="I9" s="519">
        <v>0</v>
      </c>
      <c r="J9" s="519">
        <v>290.26865977341839</v>
      </c>
      <c r="K9" s="519">
        <v>2839.0115598626717</v>
      </c>
      <c r="L9" s="519">
        <v>14523.129290377263</v>
      </c>
      <c r="M9" s="1414">
        <f t="shared" si="0"/>
        <v>0.39182125006938001</v>
      </c>
    </row>
    <row r="10" spans="1:13">
      <c r="A10" s="53">
        <v>2003</v>
      </c>
      <c r="B10" s="519">
        <f>'Output data (results)'!Q13</f>
        <v>17197.243641205314</v>
      </c>
      <c r="C10" s="519">
        <f>'Output data (results)'!R13</f>
        <v>340.90197350236133</v>
      </c>
      <c r="D10" s="519">
        <f>'Output data (results)'!S13</f>
        <v>264.99234564808432</v>
      </c>
      <c r="E10" s="519">
        <f>'Output data (results)'!T13</f>
        <v>2968.0604444646974</v>
      </c>
      <c r="F10" s="519">
        <f>'Output data (results)'!U13</f>
        <v>20771.198404820454</v>
      </c>
      <c r="H10" s="519">
        <v>11815.503726588919</v>
      </c>
      <c r="I10" s="519">
        <v>0</v>
      </c>
      <c r="J10" s="519">
        <v>293.98523080207673</v>
      </c>
      <c r="K10" s="519">
        <v>2875.3619813020655</v>
      </c>
      <c r="L10" s="519">
        <v>14984.85093869306</v>
      </c>
      <c r="M10" s="1414">
        <f t="shared" si="0"/>
        <v>0.38614648152329661</v>
      </c>
    </row>
    <row r="11" spans="1:13">
      <c r="A11" s="53">
        <v>2004</v>
      </c>
      <c r="B11" s="519">
        <f>'Output data (results)'!Q14</f>
        <v>17643.853630693935</v>
      </c>
      <c r="C11" s="519">
        <f>'Output data (results)'!R14</f>
        <v>351.14737357874856</v>
      </c>
      <c r="D11" s="519">
        <f>'Output data (results)'!S14</f>
        <v>268.1470164296091</v>
      </c>
      <c r="E11" s="519">
        <f>'Output data (results)'!T14</f>
        <v>3003.3944973749908</v>
      </c>
      <c r="F11" s="519">
        <f>'Output data (results)'!U14</f>
        <v>21266.54251807728</v>
      </c>
      <c r="H11" s="519">
        <v>12229.217124216619</v>
      </c>
      <c r="I11" s="519">
        <v>0</v>
      </c>
      <c r="J11" s="519">
        <v>297.485054978292</v>
      </c>
      <c r="K11" s="519">
        <v>2909.5924810794709</v>
      </c>
      <c r="L11" s="519">
        <v>15436.294660274381</v>
      </c>
      <c r="M11" s="1414">
        <f t="shared" si="0"/>
        <v>0.37769736754294797</v>
      </c>
    </row>
    <row r="12" spans="1:13">
      <c r="A12" s="53">
        <v>2005</v>
      </c>
      <c r="B12" s="519">
        <f>'Output data (results)'!Q15</f>
        <v>18037.435465934992</v>
      </c>
      <c r="C12" s="519">
        <f>'Output data (results)'!R15</f>
        <v>363.10913274822752</v>
      </c>
      <c r="D12" s="519">
        <f>'Output data (results)'!S15</f>
        <v>271.20974780766511</v>
      </c>
      <c r="E12" s="519">
        <f>'Output data (results)'!T15</f>
        <v>3037.6987782514689</v>
      </c>
      <c r="F12" s="519">
        <f>'Output data (results)'!U15</f>
        <v>21709.453124742355</v>
      </c>
      <c r="H12" s="519">
        <v>12635.361530682268</v>
      </c>
      <c r="I12" s="519">
        <v>0</v>
      </c>
      <c r="J12" s="519">
        <v>300.88288063571031</v>
      </c>
      <c r="K12" s="519">
        <v>2942.8253706630003</v>
      </c>
      <c r="L12" s="519">
        <v>15879.069781980979</v>
      </c>
      <c r="M12" s="1414">
        <f t="shared" si="0"/>
        <v>0.36717411175920983</v>
      </c>
    </row>
    <row r="13" spans="1:13">
      <c r="A13" s="53">
        <v>2006</v>
      </c>
      <c r="B13" s="519">
        <f>'Output data (results)'!Q16</f>
        <v>18380.817356862048</v>
      </c>
      <c r="C13" s="519">
        <f>'Output data (results)'!R16</f>
        <v>376.26782402726133</v>
      </c>
      <c r="D13" s="519">
        <f>'Output data (results)'!S16</f>
        <v>274.27247918572107</v>
      </c>
      <c r="E13" s="519">
        <f>'Output data (results)'!T16</f>
        <v>3072.0030591279478</v>
      </c>
      <c r="F13" s="519">
        <f>'Output data (results)'!U16</f>
        <v>22103.360719202978</v>
      </c>
      <c r="H13" s="519">
        <v>13034.366247930175</v>
      </c>
      <c r="I13" s="519">
        <v>0</v>
      </c>
      <c r="J13" s="519">
        <v>304.28070629312867</v>
      </c>
      <c r="K13" s="519">
        <v>2976.0582602465283</v>
      </c>
      <c r="L13" s="519">
        <v>16314.705214469832</v>
      </c>
      <c r="M13" s="1414">
        <f t="shared" si="0"/>
        <v>0.3548121420912389</v>
      </c>
    </row>
    <row r="14" spans="1:13">
      <c r="A14" s="53">
        <v>2007</v>
      </c>
      <c r="B14" s="519">
        <f>'Output data (results)'!Q17</f>
        <v>18673.919974866629</v>
      </c>
      <c r="C14" s="519">
        <f>'Output data (results)'!R17</f>
        <v>389.51821483755981</v>
      </c>
      <c r="D14" s="519">
        <f>'Output data (results)'!S17</f>
        <v>277.29498707475938</v>
      </c>
      <c r="E14" s="519">
        <f>'Output data (results)'!T17</f>
        <v>3105.8568147396318</v>
      </c>
      <c r="F14" s="519">
        <f>'Output data (results)'!U17</f>
        <v>22446.58999151858</v>
      </c>
      <c r="H14" s="519">
        <v>13426.83686526205</v>
      </c>
      <c r="I14" s="519">
        <v>0</v>
      </c>
      <c r="J14" s="519">
        <v>307.63390759857356</v>
      </c>
      <c r="K14" s="519">
        <v>3008.8546953702357</v>
      </c>
      <c r="L14" s="519">
        <v>16743.325468230862</v>
      </c>
      <c r="M14" s="1414">
        <f t="shared" si="0"/>
        <v>0.34062913810695566</v>
      </c>
    </row>
    <row r="15" spans="1:13">
      <c r="A15" s="53">
        <v>2008</v>
      </c>
      <c r="B15" s="519">
        <f>'Output data (results)'!Q18</f>
        <v>18913.355947988206</v>
      </c>
      <c r="C15" s="519">
        <f>'Output data (results)'!R18</f>
        <v>398.53046053935196</v>
      </c>
      <c r="D15" s="519">
        <f>'Output data (results)'!S18</f>
        <v>280.37495709096584</v>
      </c>
      <c r="E15" s="519">
        <f>'Output data (results)'!T18</f>
        <v>3140.3541778724511</v>
      </c>
      <c r="F15" s="519">
        <f>'Output data (results)'!U18</f>
        <v>22732.615543490971</v>
      </c>
      <c r="H15" s="519">
        <v>13813.037752763516</v>
      </c>
      <c r="I15" s="519">
        <v>0</v>
      </c>
      <c r="J15" s="519">
        <v>311.05085797826627</v>
      </c>
      <c r="K15" s="519">
        <v>3042.274636865116</v>
      </c>
      <c r="L15" s="519">
        <v>17166.363247606896</v>
      </c>
      <c r="M15" s="1414">
        <f t="shared" si="0"/>
        <v>0.3242534377023652</v>
      </c>
    </row>
    <row r="16" spans="1:13">
      <c r="A16" s="53">
        <v>2009</v>
      </c>
      <c r="B16" s="519">
        <f>'Output data (results)'!Q19</f>
        <v>19088.544397267087</v>
      </c>
      <c r="C16" s="519">
        <f>'Output data (results)'!R19</f>
        <v>396.74947082898302</v>
      </c>
      <c r="D16" s="519">
        <f>'Output data (results)'!S19</f>
        <v>283.40321119272096</v>
      </c>
      <c r="E16" s="519">
        <f>'Output data (results)'!T19</f>
        <v>3174.2722942362484</v>
      </c>
      <c r="F16" s="519">
        <f>'Output data (results)'!U19</f>
        <v>22942.96937352504</v>
      </c>
      <c r="H16" s="519">
        <v>14192.753023342679</v>
      </c>
      <c r="I16" s="519">
        <v>0</v>
      </c>
      <c r="J16" s="519">
        <v>314.41043419113589</v>
      </c>
      <c r="K16" s="519">
        <v>3075.1334226259405</v>
      </c>
      <c r="L16" s="519">
        <v>17582.296880159753</v>
      </c>
      <c r="M16" s="1414">
        <f t="shared" si="0"/>
        <v>0.30489034111432778</v>
      </c>
    </row>
    <row r="17" spans="1:13">
      <c r="A17" s="53">
        <v>2010</v>
      </c>
      <c r="B17" s="519">
        <f>'Output data (results)'!Q20</f>
        <v>19184.051761689574</v>
      </c>
      <c r="C17" s="519">
        <f>'Output data (results)'!R20</f>
        <v>456.56943386834331</v>
      </c>
      <c r="D17" s="519">
        <f>'Output data (results)'!S20</f>
        <v>289.10958635758124</v>
      </c>
      <c r="E17" s="519">
        <f>'Output data (results)'!T20</f>
        <v>3209.670707898656</v>
      </c>
      <c r="F17" s="519">
        <f>'Output data (results)'!U20</f>
        <v>23139.401489814154</v>
      </c>
      <c r="H17" s="519">
        <v>14563.494113324392</v>
      </c>
      <c r="I17" s="519">
        <v>0</v>
      </c>
      <c r="J17" s="519">
        <v>317.91663327477596</v>
      </c>
      <c r="K17" s="519">
        <v>3109.4262730404635</v>
      </c>
      <c r="L17" s="519">
        <v>17990.837019639632</v>
      </c>
      <c r="M17" s="1414">
        <f t="shared" si="0"/>
        <v>0.28617703915354858</v>
      </c>
    </row>
    <row r="18" spans="1:13">
      <c r="A18" s="53">
        <v>2011</v>
      </c>
      <c r="B18" s="519">
        <f>'Output data (results)'!Q21</f>
        <v>19161.774402560713</v>
      </c>
      <c r="C18" s="519">
        <f>'Output data (results)'!R21</f>
        <v>487.40346591697141</v>
      </c>
      <c r="D18" s="519">
        <f>'Output data (results)'!S21</f>
        <v>301.9056170360725</v>
      </c>
      <c r="E18" s="519">
        <f>'Output data (results)'!T21</f>
        <v>3332.0204976663595</v>
      </c>
      <c r="F18" s="519">
        <f>'Output data (results)'!U21</f>
        <v>23283.103983180114</v>
      </c>
      <c r="H18" s="519">
        <v>14935.214484849848</v>
      </c>
      <c r="I18" s="519">
        <v>0</v>
      </c>
      <c r="J18" s="519">
        <v>330.03533228932076</v>
      </c>
      <c r="K18" s="519">
        <v>3227.9548342004782</v>
      </c>
      <c r="L18" s="519">
        <v>18493.204651339649</v>
      </c>
      <c r="M18" s="1414">
        <f t="shared" si="0"/>
        <v>0.25900861544261794</v>
      </c>
    </row>
    <row r="19" spans="1:13">
      <c r="A19" s="53">
        <v>2012</v>
      </c>
      <c r="B19" s="519">
        <f>'Output data (results)'!Q22</f>
        <v>19042.492354796916</v>
      </c>
      <c r="C19" s="519">
        <f>'Output data (results)'!R22</f>
        <v>538.4258210540205</v>
      </c>
      <c r="D19" s="519">
        <f>'Output data (results)'!S22</f>
        <v>306.05386884064137</v>
      </c>
      <c r="E19" s="519">
        <f>'Output data (results)'!T22</f>
        <v>3367.6763543372203</v>
      </c>
      <c r="F19" s="519">
        <f>'Output data (results)'!U22</f>
        <v>23254.6483990288</v>
      </c>
      <c r="H19" s="519">
        <v>15332.055571910652</v>
      </c>
      <c r="I19" s="519">
        <v>0</v>
      </c>
      <c r="J19" s="519">
        <v>337.75534518075358</v>
      </c>
      <c r="K19" s="519">
        <v>3303.4614557495461</v>
      </c>
      <c r="L19" s="519">
        <v>18973.272372840955</v>
      </c>
      <c r="M19" s="1414">
        <f t="shared" si="0"/>
        <v>0.22565301030076212</v>
      </c>
    </row>
    <row r="20" spans="1:13">
      <c r="A20" s="53">
        <v>2013</v>
      </c>
      <c r="B20" s="519">
        <f>'Output data (results)'!Q23</f>
        <v>18811.009746490032</v>
      </c>
      <c r="C20" s="519">
        <f>'Output data (results)'!R23</f>
        <v>588.61902473493001</v>
      </c>
      <c r="D20" s="519">
        <f>'Output data (results)'!S23</f>
        <v>310.65162675346664</v>
      </c>
      <c r="E20" s="519">
        <f>'Output data (results)'!T23</f>
        <v>3417.813380233612</v>
      </c>
      <c r="F20" s="519">
        <f>'Output data (results)'!U23</f>
        <v>23128.093778212042</v>
      </c>
      <c r="H20" s="519">
        <v>15737.951382982099</v>
      </c>
      <c r="I20" s="519">
        <v>0</v>
      </c>
      <c r="J20" s="519">
        <v>339.09407573996157</v>
      </c>
      <c r="K20" s="519">
        <v>3316.555089544182</v>
      </c>
      <c r="L20" s="519">
        <v>19393.600548266244</v>
      </c>
      <c r="M20" s="1414">
        <f t="shared" si="0"/>
        <v>0.1925631715808262</v>
      </c>
    </row>
    <row r="21" spans="1:13">
      <c r="A21" s="53">
        <v>2014</v>
      </c>
      <c r="B21" s="519">
        <f>'Output data (results)'!Q24</f>
        <v>18548.08471471896</v>
      </c>
      <c r="C21" s="519">
        <f>'Output data (results)'!R24</f>
        <v>634.907888186989</v>
      </c>
      <c r="D21" s="519">
        <f>'Output data (results)'!S24</f>
        <v>314.51680959429882</v>
      </c>
      <c r="E21" s="519">
        <f>'Output data (results)'!T24</f>
        <v>3469.8168679412947</v>
      </c>
      <c r="F21" s="519">
        <f>'Output data (results)'!U24</f>
        <v>22967.326280441543</v>
      </c>
      <c r="H21" s="519">
        <v>16159.429496771412</v>
      </c>
      <c r="I21" s="519">
        <v>0</v>
      </c>
      <c r="J21" s="519">
        <v>344.61474556983836</v>
      </c>
      <c r="K21" s="519">
        <v>3370.550741287776</v>
      </c>
      <c r="L21" s="519">
        <v>19874.594983629024</v>
      </c>
      <c r="M21" s="1414">
        <f t="shared" si="0"/>
        <v>0.1556122929478585</v>
      </c>
    </row>
    <row r="22" spans="1:13">
      <c r="A22" s="53">
        <v>2015</v>
      </c>
      <c r="B22" s="519">
        <f>'Output data (results)'!Q25</f>
        <v>18255.774711912381</v>
      </c>
      <c r="C22" s="519">
        <f>'Output data (results)'!R25</f>
        <v>677.08369940873115</v>
      </c>
      <c r="D22" s="519">
        <f>'Output data (results)'!S25</f>
        <v>317.61320692281578</v>
      </c>
      <c r="E22" s="519">
        <f>'Output data (results)'!T25</f>
        <v>3523.7511782123806</v>
      </c>
      <c r="F22" s="519">
        <f>'Output data (results)'!U25</f>
        <v>22774.222796456306</v>
      </c>
      <c r="H22" s="519">
        <v>16573.286536721545</v>
      </c>
      <c r="I22" s="519">
        <v>0</v>
      </c>
      <c r="J22" s="519">
        <v>350.33941243730874</v>
      </c>
      <c r="K22" s="519">
        <v>3426.5416134191241</v>
      </c>
      <c r="L22" s="519">
        <v>20350.167562577979</v>
      </c>
      <c r="M22" s="1414">
        <f t="shared" si="0"/>
        <v>0.11911721249587812</v>
      </c>
    </row>
    <row r="23" spans="1:13">
      <c r="A23" s="53">
        <v>2016</v>
      </c>
      <c r="B23" s="519">
        <f>'Output data (results)'!Q26</f>
        <v>17936.020956703142</v>
      </c>
      <c r="C23" s="519">
        <f>'Output data (results)'!R26</f>
        <v>715.27848236533293</v>
      </c>
      <c r="D23" s="519">
        <f>'Output data (results)'!S26</f>
        <v>319.90724608551255</v>
      </c>
      <c r="E23" s="519">
        <f>'Output data (results)'!T26</f>
        <v>3579.7450325510972</v>
      </c>
      <c r="F23" s="519">
        <f>'Output data (results)'!U26</f>
        <v>22550.951717705088</v>
      </c>
      <c r="H23" s="519">
        <v>16975.940539472325</v>
      </c>
      <c r="I23" s="519">
        <v>0</v>
      </c>
      <c r="J23" s="519">
        <v>354.44485281887989</v>
      </c>
      <c r="K23" s="519">
        <v>3466.6954237226737</v>
      </c>
      <c r="L23" s="519">
        <v>20797.08081601388</v>
      </c>
      <c r="M23" s="1414">
        <f t="shared" si="0"/>
        <v>8.433255211186734E-2</v>
      </c>
    </row>
    <row r="24" spans="1:13">
      <c r="A24" s="413">
        <v>2017</v>
      </c>
      <c r="B24" s="471">
        <f>'Output data (results)'!Q27</f>
        <v>17590.871904814656</v>
      </c>
      <c r="C24" s="471">
        <f>'Output data (results)'!R27</f>
        <v>751.39758292651663</v>
      </c>
      <c r="D24" s="471">
        <f>'Output data (results)'!S27</f>
        <v>321.35043715255375</v>
      </c>
      <c r="E24" s="471">
        <f>'Output data (results)'!T27</f>
        <v>3637.7984309574467</v>
      </c>
      <c r="F24" s="471">
        <f>'Output data (results)'!U27</f>
        <v>22301.418355851172</v>
      </c>
      <c r="H24" s="471">
        <v>17365.956871268652</v>
      </c>
      <c r="I24" s="471">
        <v>0</v>
      </c>
      <c r="J24" s="471">
        <v>360.18226950119993</v>
      </c>
      <c r="K24" s="471">
        <v>3522.810997128257</v>
      </c>
      <c r="L24" s="471">
        <v>21248.950137898111</v>
      </c>
      <c r="M24" s="1414">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21875" customWidth="1"/>
    <col min="5" max="5" width="17.33203125" customWidth="1"/>
    <col min="6" max="6" width="15.5546875" style="1228" customWidth="1"/>
    <col min="7" max="7" width="11.88671875" style="1228" customWidth="1"/>
    <col min="8" max="8" width="13.88671875" style="1228" customWidth="1"/>
    <col min="9" max="9" width="11.44140625" style="1228" bestFit="1" customWidth="1"/>
    <col min="10" max="10" width="16.44140625" customWidth="1"/>
    <col min="11" max="11" width="10.109375" customWidth="1"/>
    <col min="12" max="12" width="25.21875" customWidth="1"/>
    <col min="13" max="13" width="17.33203125" customWidth="1"/>
    <col min="14" max="14" width="15.5546875" style="1228" customWidth="1"/>
    <col min="15" max="15" width="11.88671875" style="1228" customWidth="1"/>
    <col min="16" max="16" width="13.88671875" style="1228" customWidth="1"/>
    <col min="17" max="17" width="12.44140625" style="1228" bestFit="1" customWidth="1"/>
    <col min="18" max="18" width="16.44140625" customWidth="1"/>
    <col min="19" max="19" width="10.109375" customWidth="1"/>
    <col min="20" max="20" width="17.5546875" customWidth="1"/>
    <col min="21" max="21" width="15.109375" customWidth="1"/>
    <col min="22" max="22" width="14.77734375" customWidth="1"/>
    <col min="23" max="23" width="15.88671875" customWidth="1"/>
    <col min="24" max="24" width="13.7773437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77734375" customWidth="1"/>
    <col min="32" max="32" width="17.44140625" customWidth="1"/>
    <col min="33" max="33" width="15.5546875" customWidth="1"/>
    <col min="34" max="34" width="19.5546875" style="624" customWidth="1"/>
    <col min="35" max="35" width="12.77734375" style="624" customWidth="1"/>
    <col min="38" max="38" width="15.33203125" customWidth="1"/>
    <col min="39" max="39" width="16" customWidth="1"/>
    <col min="40" max="40" width="17.77734375" customWidth="1"/>
    <col min="41" max="41" width="16.7773437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21875" customWidth="1"/>
    <col min="53" max="53" width="20.88671875" customWidth="1"/>
    <col min="54" max="54" width="22.21875" customWidth="1"/>
  </cols>
  <sheetData>
    <row r="2" spans="1:54" ht="18">
      <c r="A2" s="1227" t="s">
        <v>483</v>
      </c>
      <c r="B2" s="410"/>
    </row>
    <row r="3" spans="1:54" ht="31.8" customHeight="1" thickBot="1">
      <c r="B3" s="1789"/>
      <c r="C3" s="1789"/>
      <c r="E3" s="1229"/>
      <c r="J3" s="1229"/>
      <c r="K3" s="1229"/>
      <c r="M3" s="1229"/>
      <c r="R3" s="1229"/>
      <c r="S3" s="1229"/>
      <c r="T3" s="1229"/>
      <c r="U3" s="1229"/>
      <c r="V3" s="1229"/>
      <c r="W3" s="1229"/>
      <c r="X3" s="1229"/>
      <c r="AL3" s="545" t="s">
        <v>522</v>
      </c>
    </row>
    <row r="4" spans="1:54" ht="50.4"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8"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28.04065142078467</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28.04065142078467</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28.04065142078467</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28.04065142078467</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28.04065142078467</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28.04065142078467</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28.04065142078467</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28.04065142078467</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28.04065142078467</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28.04065142078467</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28.04065142078467</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28.04065142078467</v>
      </c>
      <c r="AB17" s="236">
        <f>'Input data'!L61</f>
        <v>16813.019776539491</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14873.416346695991</v>
      </c>
      <c r="AT17" s="775">
        <f t="shared" si="12"/>
        <v>1168.3472809000948</v>
      </c>
      <c r="AU17" s="775">
        <f t="shared" si="13"/>
        <v>325.66929908775671</v>
      </c>
      <c r="AV17" s="419">
        <f t="shared" si="14"/>
        <v>0</v>
      </c>
      <c r="AW17" s="775">
        <f t="shared" si="15"/>
        <v>445.58684985565071</v>
      </c>
      <c r="AX17" s="530">
        <f t="shared" si="16"/>
        <v>16813.019776539491</v>
      </c>
      <c r="AZ17" s="684">
        <f t="shared" si="22"/>
        <v>21.240212952945491</v>
      </c>
      <c r="BA17" s="417">
        <f t="shared" si="17"/>
        <v>0.13300441343894043</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28.04065142078467</v>
      </c>
      <c r="AB18" s="236">
        <f>'Input data'!L62</f>
        <v>17851.708483073329</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15792.278620827487</v>
      </c>
      <c r="AT18" s="775">
        <f t="shared" si="12"/>
        <v>1240.5264100577137</v>
      </c>
      <c r="AU18" s="775">
        <f t="shared" si="13"/>
        <v>345.78876766170418</v>
      </c>
      <c r="AV18" s="419">
        <f t="shared" si="14"/>
        <v>0</v>
      </c>
      <c r="AW18" s="775">
        <f t="shared" si="15"/>
        <v>473.11468452642589</v>
      </c>
      <c r="AX18" s="530">
        <f t="shared" si="16"/>
        <v>17851.708483073329</v>
      </c>
      <c r="AZ18" s="684">
        <f t="shared" si="22"/>
        <v>22.398207659201333</v>
      </c>
      <c r="BA18" s="417">
        <f t="shared" si="17"/>
        <v>0.13254318125101727</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28.04065142078467</v>
      </c>
      <c r="AB19" s="236">
        <f>'Input data'!L63</f>
        <v>19168.024342122149</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16956.740096255638</v>
      </c>
      <c r="AT19" s="775">
        <f t="shared" si="12"/>
        <v>1331.9980240310306</v>
      </c>
      <c r="AU19" s="775">
        <f t="shared" si="13"/>
        <v>371.28589244310149</v>
      </c>
      <c r="AV19" s="419">
        <f t="shared" si="14"/>
        <v>0</v>
      </c>
      <c r="AW19" s="775">
        <f t="shared" si="15"/>
        <v>508.00032939237877</v>
      </c>
      <c r="AX19" s="530">
        <f t="shared" si="16"/>
        <v>19168.024342122149</v>
      </c>
      <c r="AZ19" s="684">
        <f t="shared" si="22"/>
        <v>23.833829517972148</v>
      </c>
      <c r="BA19" s="417">
        <f t="shared" si="17"/>
        <v>0.13193202035222285</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28.04065142078467</v>
      </c>
      <c r="AB20" s="236">
        <f>'Input data'!L64</f>
        <v>20689.923625147421</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18303.068238078118</v>
      </c>
      <c r="AT20" s="775">
        <f t="shared" si="12"/>
        <v>1437.7557589744886</v>
      </c>
      <c r="AU20" s="775">
        <f t="shared" si="13"/>
        <v>400.76518167088187</v>
      </c>
      <c r="AV20" s="419">
        <f t="shared" si="14"/>
        <v>0</v>
      </c>
      <c r="AW20" s="775">
        <f t="shared" si="15"/>
        <v>548.33444642393442</v>
      </c>
      <c r="AX20" s="530">
        <f t="shared" si="16"/>
        <v>20689.923625147425</v>
      </c>
      <c r="AZ20" s="684">
        <f t="shared" si="22"/>
        <v>25.475034800719424</v>
      </c>
      <c r="BA20" s="417">
        <f t="shared" si="17"/>
        <v>0.13126096385506311</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28.04065142078467</v>
      </c>
      <c r="AB21" s="236">
        <f>'Input data'!L65</f>
        <v>21956.718164004171</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19423.721330298249</v>
      </c>
      <c r="AT21" s="775">
        <f t="shared" si="12"/>
        <v>1525.7861053729155</v>
      </c>
      <c r="AU21" s="775">
        <f t="shared" si="13"/>
        <v>425.30307522248211</v>
      </c>
      <c r="AV21" s="419">
        <f t="shared" si="14"/>
        <v>0</v>
      </c>
      <c r="AW21" s="775">
        <f t="shared" si="15"/>
        <v>581.90765311052655</v>
      </c>
      <c r="AX21" s="530">
        <f t="shared" si="16"/>
        <v>21956.718164004171</v>
      </c>
      <c r="AZ21" s="684">
        <f t="shared" si="22"/>
        <v>26.861135339298169</v>
      </c>
      <c r="BA21" s="417">
        <f t="shared" si="17"/>
        <v>0.13081652076053055</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28.04065142078467</v>
      </c>
      <c r="AB22" s="236">
        <f>'Input data'!L66</f>
        <v>22931.225001439059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20285.805959859917</v>
      </c>
      <c r="AT22" s="775">
        <f t="shared" si="12"/>
        <v>1593.505196224419</v>
      </c>
      <c r="AU22" s="775">
        <f t="shared" si="13"/>
        <v>444.17933676988679</v>
      </c>
      <c r="AV22" s="419">
        <f t="shared" si="14"/>
        <v>0</v>
      </c>
      <c r="AW22" s="775">
        <f t="shared" si="15"/>
        <v>607.7345085848367</v>
      </c>
      <c r="AX22" s="530">
        <f t="shared" si="16"/>
        <v>22931.225001439059</v>
      </c>
      <c r="AZ22" s="684">
        <f t="shared" si="22"/>
        <v>27.989748831799055</v>
      </c>
      <c r="BA22" s="417">
        <f t="shared" si="17"/>
        <v>0.13065940068373511</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28.04065142078467</v>
      </c>
      <c r="AB23" s="236">
        <f>'Input data'!L67</f>
        <v>24581.488022869198</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21745.68939100514</v>
      </c>
      <c r="AT23" s="775">
        <f t="shared" si="12"/>
        <v>1708.1830077944901</v>
      </c>
      <c r="AU23" s="775">
        <f t="shared" si="13"/>
        <v>476.14504005476181</v>
      </c>
      <c r="AV23" s="419">
        <f t="shared" si="14"/>
        <v>0</v>
      </c>
      <c r="AW23" s="775">
        <f t="shared" si="15"/>
        <v>651.47058401480763</v>
      </c>
      <c r="AX23" s="530">
        <f t="shared" si="16"/>
        <v>24581.488022869202</v>
      </c>
      <c r="AZ23" s="684">
        <f t="shared" si="22"/>
        <v>29.795746892470799</v>
      </c>
      <c r="BA23" s="417">
        <f t="shared" si="17"/>
        <v>0.13017463263404519</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28.04065142078467</v>
      </c>
      <c r="AB24" s="236">
        <f>'Input data'!L68</f>
        <v>25602.466562359092</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22648.884599284393</v>
      </c>
      <c r="AT24" s="775">
        <f t="shared" si="12"/>
        <v>1779.1314463453598</v>
      </c>
      <c r="AU24" s="775">
        <f t="shared" si="13"/>
        <v>495.92146152803457</v>
      </c>
      <c r="AV24" s="419">
        <f t="shared" si="14"/>
        <v>0</v>
      </c>
      <c r="AW24" s="775">
        <f t="shared" si="15"/>
        <v>678.52905520130628</v>
      </c>
      <c r="AX24" s="530">
        <f t="shared" si="16"/>
        <v>25602.466562359095</v>
      </c>
      <c r="AZ24" s="684">
        <f t="shared" si="22"/>
        <v>30.973593809735895</v>
      </c>
      <c r="BA24" s="417">
        <f t="shared" si="17"/>
        <v>0.13004004111670134</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28.04065142078467</v>
      </c>
      <c r="AB25" s="236">
        <f>'Input data'!L69</f>
        <v>26809.835517165811</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23716.967631814532</v>
      </c>
      <c r="AT25" s="775">
        <f t="shared" si="12"/>
        <v>1863.0322716664587</v>
      </c>
      <c r="AU25" s="775">
        <f t="shared" si="13"/>
        <v>519.30827760737373</v>
      </c>
      <c r="AV25" s="419">
        <f t="shared" si="14"/>
        <v>0</v>
      </c>
      <c r="AW25" s="775">
        <f t="shared" si="15"/>
        <v>710.5273360774479</v>
      </c>
      <c r="AX25" s="530">
        <f t="shared" si="16"/>
        <v>26809.835517165815</v>
      </c>
      <c r="AZ25" s="684">
        <f t="shared" si="22"/>
        <v>32.338964480851409</v>
      </c>
      <c r="BA25" s="417">
        <f t="shared" si="17"/>
        <v>0.12983389374061549</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28.04065142078467</v>
      </c>
      <c r="AB26" s="236">
        <f>'Input data'!L70</f>
        <v>28216.996419591338</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24961.793977511905</v>
      </c>
      <c r="AT26" s="775">
        <f t="shared" si="12"/>
        <v>1960.8167646361192</v>
      </c>
      <c r="AU26" s="775">
        <f t="shared" si="13"/>
        <v>546.56507685506597</v>
      </c>
      <c r="AV26" s="419">
        <f t="shared" si="14"/>
        <v>0</v>
      </c>
      <c r="AW26" s="775">
        <f t="shared" si="15"/>
        <v>747.82060058824948</v>
      </c>
      <c r="AX26" s="530">
        <f t="shared" si="16"/>
        <v>28216.996419591338</v>
      </c>
      <c r="AZ26" s="684">
        <f t="shared" si="22"/>
        <v>33.905260438119335</v>
      </c>
      <c r="BA26" s="417">
        <f t="shared" si="17"/>
        <v>0.12956264570810347</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28.04065142078467</v>
      </c>
      <c r="AB27" s="236">
        <f>'Input data'!L71</f>
        <v>29424.393352337644</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26029.901760357545</v>
      </c>
      <c r="AT27" s="775">
        <f t="shared" si="12"/>
        <v>2044.7195341617735</v>
      </c>
      <c r="AU27" s="775">
        <f t="shared" si="13"/>
        <v>569.95243486893548</v>
      </c>
      <c r="AV27" s="419">
        <f t="shared" si="14"/>
        <v>0</v>
      </c>
      <c r="AW27" s="775">
        <f t="shared" si="15"/>
        <v>779.81962294939092</v>
      </c>
      <c r="AX27" s="530">
        <f t="shared" si="16"/>
        <v>29424.393352337644</v>
      </c>
      <c r="AZ27" s="684">
        <f t="shared" si="22"/>
        <v>41.327607820937644</v>
      </c>
      <c r="BA27" s="417">
        <f t="shared" si="17"/>
        <v>0.13974035251985389</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28.04065142078467</v>
      </c>
      <c r="AB28" s="236">
        <f>'Input data'!L72</f>
        <v>29911.297044326649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26460.63469399753</v>
      </c>
      <c r="AT28" s="775">
        <f t="shared" si="12"/>
        <v>2078.5547768579945</v>
      </c>
      <c r="AU28" s="775">
        <f t="shared" si="13"/>
        <v>579.38379141290181</v>
      </c>
      <c r="AV28" s="419">
        <f t="shared" si="14"/>
        <v>0</v>
      </c>
      <c r="AW28" s="775">
        <f t="shared" si="15"/>
        <v>792.72378205822667</v>
      </c>
      <c r="AX28" s="530">
        <f t="shared" si="16"/>
        <v>29911.297044326657</v>
      </c>
      <c r="AZ28" s="684">
        <f t="shared" si="22"/>
        <v>42.090473126126653</v>
      </c>
      <c r="BA28" s="417">
        <f t="shared" si="17"/>
        <v>0.13985344258426077</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28.04065142078467</v>
      </c>
      <c r="AB29" s="236">
        <f>'Input data'!L73</f>
        <v>31278.840890434971</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27670.414332983801</v>
      </c>
      <c r="AT29" s="775">
        <f t="shared" si="12"/>
        <v>2173.5862557563778</v>
      </c>
      <c r="AU29" s="775">
        <f t="shared" si="13"/>
        <v>605.87320567358847</v>
      </c>
      <c r="AV29" s="419">
        <f t="shared" si="14"/>
        <v>0</v>
      </c>
      <c r="AW29" s="775">
        <f t="shared" si="15"/>
        <v>828.96709602120518</v>
      </c>
      <c r="AX29" s="530">
        <f t="shared" si="16"/>
        <v>31278.840890434974</v>
      </c>
      <c r="AZ29" s="684">
        <f t="shared" si="22"/>
        <v>43.737138451234976</v>
      </c>
      <c r="BA29" s="417">
        <f t="shared" si="17"/>
        <v>0.13947154033436612</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28.04065142078467</v>
      </c>
      <c r="AB30" s="236">
        <f>'Input data'!L74</f>
        <v>33190.307892018995</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29361.368422456799</v>
      </c>
      <c r="AT30" s="775">
        <f t="shared" si="12"/>
        <v>2306.4152956024609</v>
      </c>
      <c r="AU30" s="775">
        <f t="shared" si="13"/>
        <v>642.89844723690805</v>
      </c>
      <c r="AV30" s="419">
        <f t="shared" si="14"/>
        <v>0</v>
      </c>
      <c r="AW30" s="775">
        <f t="shared" si="15"/>
        <v>879.62572672283136</v>
      </c>
      <c r="AX30" s="530">
        <f t="shared" si="16"/>
        <v>33190.307892019002</v>
      </c>
      <c r="AZ30" s="684">
        <f t="shared" si="22"/>
        <v>45.929833509019012</v>
      </c>
      <c r="BA30" s="417">
        <f t="shared" si="17"/>
        <v>0.13883883536634245</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28.04065142078467</v>
      </c>
      <c r="AB31" s="236">
        <f>'Input data'!L75</f>
        <v>33753.032362114922</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29859.175208117598</v>
      </c>
      <c r="AT31" s="775">
        <f t="shared" si="12"/>
        <v>2345.5193716858025</v>
      </c>
      <c r="AU31" s="775">
        <f t="shared" si="13"/>
        <v>653.79845724054758</v>
      </c>
      <c r="AV31" s="419">
        <f t="shared" si="14"/>
        <v>0</v>
      </c>
      <c r="AW31" s="775">
        <f t="shared" si="15"/>
        <v>894.5393250709767</v>
      </c>
      <c r="AX31" s="530">
        <f t="shared" si="16"/>
        <v>33753.032362114922</v>
      </c>
      <c r="AZ31" s="684">
        <f t="shared" si="22"/>
        <v>46.775892612514923</v>
      </c>
      <c r="BA31" s="417">
        <f t="shared" si="17"/>
        <v>0.13892688821375188</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28.04065142078467</v>
      </c>
      <c r="AB32" s="236">
        <f>'Input data'!L76</f>
        <v>34512.443205578078</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30530.978001616</v>
      </c>
      <c r="AT32" s="775">
        <f t="shared" si="12"/>
        <v>2398.2913071167168</v>
      </c>
      <c r="AU32" s="775">
        <f t="shared" si="13"/>
        <v>668.50829523499215</v>
      </c>
      <c r="AV32" s="419">
        <f t="shared" si="14"/>
        <v>0</v>
      </c>
      <c r="AW32" s="775">
        <f t="shared" si="15"/>
        <v>914.66560161037285</v>
      </c>
      <c r="AX32" s="530">
        <f t="shared" si="16"/>
        <v>34512.443205578085</v>
      </c>
      <c r="AZ32" s="684">
        <f t="shared" si="22"/>
        <v>47.819691377978089</v>
      </c>
      <c r="BA32" s="417">
        <f t="shared" si="17"/>
        <v>0.13891588688715961</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28.04065142078467</v>
      </c>
      <c r="AB33" s="236">
        <f>'Input data'!L77</f>
        <v>34479.988555064396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30502.267422797191</v>
      </c>
      <c r="AT33" s="775">
        <f t="shared" si="12"/>
        <v>2396.0360131133671</v>
      </c>
      <c r="AU33" s="775">
        <f t="shared" si="13"/>
        <v>667.87964651956759</v>
      </c>
      <c r="AV33" s="419">
        <f t="shared" si="14"/>
        <v>0</v>
      </c>
      <c r="AW33" s="775">
        <f t="shared" si="15"/>
        <v>913.80547263427206</v>
      </c>
      <c r="AX33" s="530">
        <f t="shared" si="16"/>
        <v>34479.988555064403</v>
      </c>
      <c r="AZ33" s="684">
        <f t="shared" si="22"/>
        <v>48.070571360864399</v>
      </c>
      <c r="BA33" s="417">
        <f t="shared" si="17"/>
        <v>0.13929182665963644</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28.04065142078467</v>
      </c>
      <c r="AB34" s="236">
        <f>'Input data'!L78</f>
        <v>35519.404693528006</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31421.773209997678</v>
      </c>
      <c r="AT34" s="775">
        <f t="shared" si="12"/>
        <v>2468.2656919716637</v>
      </c>
      <c r="AU34" s="775">
        <f t="shared" si="13"/>
        <v>688.01320549784771</v>
      </c>
      <c r="AV34" s="419">
        <f t="shared" si="14"/>
        <v>0</v>
      </c>
      <c r="AW34" s="775">
        <f t="shared" si="15"/>
        <v>941.35258606081982</v>
      </c>
      <c r="AX34" s="530">
        <f t="shared" si="16"/>
        <v>35519.404693528006</v>
      </c>
      <c r="AZ34" s="684">
        <f t="shared" si="22"/>
        <v>49.399115220028008</v>
      </c>
      <c r="BA34" s="417">
        <f t="shared" si="17"/>
        <v>0.13914365790186373</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28.04065142078467</v>
      </c>
      <c r="AB35" s="236">
        <f>'Input data'!L79</f>
        <v>36865.769082435894</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32612.816721320636</v>
      </c>
      <c r="AT35" s="775">
        <f t="shared" si="12"/>
        <v>2561.8253971161375</v>
      </c>
      <c r="AU35" s="775">
        <f t="shared" si="13"/>
        <v>714.09237227930703</v>
      </c>
      <c r="AV35" s="419">
        <f t="shared" si="14"/>
        <v>0</v>
      </c>
      <c r="AW35" s="775">
        <f t="shared" si="15"/>
        <v>977.03459171981592</v>
      </c>
      <c r="AX35" s="530">
        <f t="shared" si="16"/>
        <v>36865.769082435894</v>
      </c>
      <c r="AZ35" s="684">
        <f t="shared" si="22"/>
        <v>51.054093168735896</v>
      </c>
      <c r="BA35" s="417">
        <f t="shared" si="17"/>
        <v>0.13888440158834037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28.04065142078467</v>
      </c>
      <c r="AB36" s="236">
        <f>'Input data'!L80</f>
        <v>39306.498690303561</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34771.975999666269</v>
      </c>
      <c r="AT36" s="775">
        <f t="shared" si="12"/>
        <v>2731.4332271588783</v>
      </c>
      <c r="AU36" s="775">
        <f t="shared" si="13"/>
        <v>761.36946534298988</v>
      </c>
      <c r="AV36" s="419">
        <f t="shared" si="14"/>
        <v>0</v>
      </c>
      <c r="AW36" s="775">
        <f t="shared" si="15"/>
        <v>1041.7199981354274</v>
      </c>
      <c r="AX36" s="530">
        <f t="shared" si="16"/>
        <v>39306.498690303568</v>
      </c>
      <c r="AZ36" s="684">
        <f t="shared" si="22"/>
        <v>53.829241907103565</v>
      </c>
      <c r="BA36" s="417">
        <f t="shared" si="17"/>
        <v>0.1381975868587442</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28.04065142078467</v>
      </c>
      <c r="AB37" s="236">
        <f>'Input data'!L81</f>
        <v>41413.616873693405</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36636.010328406075</v>
      </c>
      <c r="AT37" s="775">
        <f t="shared" si="12"/>
        <v>2877.8581902421834</v>
      </c>
      <c r="AU37" s="775">
        <f t="shared" si="13"/>
        <v>802.18448316847173</v>
      </c>
      <c r="AV37" s="419">
        <f t="shared" si="14"/>
        <v>0</v>
      </c>
      <c r="AW37" s="775">
        <f t="shared" si="15"/>
        <v>1097.5638718766793</v>
      </c>
      <c r="AX37" s="530">
        <f t="shared" si="16"/>
        <v>41413.616873693412</v>
      </c>
      <c r="AZ37" s="684">
        <f t="shared" si="22"/>
        <v>56.293951570193414</v>
      </c>
      <c r="BA37" s="417">
        <f t="shared" si="17"/>
        <v>0.13773546301718073</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28.04065142078467</v>
      </c>
      <c r="AB38" s="236">
        <f>'Input data'!L82</f>
        <v>41254.840889490639</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36495.551246677082</v>
      </c>
      <c r="AT38" s="775">
        <f t="shared" si="12"/>
        <v>2866.8247475958842</v>
      </c>
      <c r="AU38" s="775">
        <f t="shared" si="13"/>
        <v>799.10898190965349</v>
      </c>
      <c r="AV38" s="419">
        <f t="shared" si="14"/>
        <v>0</v>
      </c>
      <c r="AW38" s="775">
        <f t="shared" si="15"/>
        <v>1093.355913308025</v>
      </c>
      <c r="AX38" s="530">
        <f t="shared" si="16"/>
        <v>41254.840889490646</v>
      </c>
      <c r="AZ38" s="684">
        <f t="shared" si="22"/>
        <v>56.512779549090652</v>
      </c>
      <c r="BA38" s="417">
        <f t="shared" si="17"/>
        <v>0.13821435500174847</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28.04065142078467</v>
      </c>
      <c r="AB39" s="236">
        <f>'Input data'!L83</f>
        <v>40493.051903550608</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35821.644660780854</v>
      </c>
      <c r="AT39" s="775">
        <f t="shared" si="12"/>
        <v>2813.8875535538832</v>
      </c>
      <c r="AU39" s="775">
        <f t="shared" si="13"/>
        <v>784.35307913898976</v>
      </c>
      <c r="AV39" s="419">
        <f t="shared" si="14"/>
        <v>0</v>
      </c>
      <c r="AW39" s="775">
        <f t="shared" si="15"/>
        <v>1073.1666100768828</v>
      </c>
      <c r="AX39" s="530">
        <f t="shared" si="16"/>
        <v>40493.051903550615</v>
      </c>
      <c r="AZ39" s="684">
        <f t="shared" si="22"/>
        <v>56.147027076750611</v>
      </c>
      <c r="BA39" s="417">
        <f t="shared" si="17"/>
        <v>0.138960202946177</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28.04065142078467</v>
      </c>
      <c r="AB40" s="236">
        <f>'Input data'!L84</f>
        <v>42557.839150678592</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37648.231484685952</v>
      </c>
      <c r="AT40" s="775">
        <f t="shared" si="12"/>
        <v>2957.3709133477832</v>
      </c>
      <c r="AU40" s="775">
        <f t="shared" si="13"/>
        <v>824.34814394441003</v>
      </c>
      <c r="AV40" s="419">
        <f t="shared" si="14"/>
        <v>0</v>
      </c>
      <c r="AW40" s="775">
        <f t="shared" si="15"/>
        <v>1127.8886087004546</v>
      </c>
      <c r="AX40" s="530">
        <f t="shared" si="16"/>
        <v>42557.839150678599</v>
      </c>
      <c r="AZ40" s="684">
        <f t="shared" si="22"/>
        <v>58.623123522178595</v>
      </c>
      <c r="BA40" s="417">
        <f t="shared" si="17"/>
        <v>0.13855734823170313</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28.04065142078467</v>
      </c>
      <c r="AB41" s="236">
        <f>'Input data'!L85</f>
        <v>42042.257858209916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37192.129289757548</v>
      </c>
      <c r="AT41" s="775">
        <f t="shared" si="12"/>
        <v>2921.5428462221334</v>
      </c>
      <c r="AU41" s="775">
        <f t="shared" si="13"/>
        <v>814.36130039264481</v>
      </c>
      <c r="AV41" s="419">
        <f t="shared" si="14"/>
        <v>0</v>
      </c>
      <c r="AW41" s="775">
        <f t="shared" si="15"/>
        <v>1114.2244218375931</v>
      </c>
      <c r="AX41" s="530">
        <f t="shared" si="16"/>
        <v>42042.257858209916</v>
      </c>
      <c r="AZ41" s="684">
        <f t="shared" si="22"/>
        <v>58.530437602609915</v>
      </c>
      <c r="BA41" s="417">
        <f t="shared" si="17"/>
        <v>0.13920559713992392</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28.04065142078467</v>
      </c>
      <c r="AB42" s="236">
        <f>'Input data'!L86</f>
        <v>42049.756001565111</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37198.762423449843</v>
      </c>
      <c r="AT42" s="775">
        <f t="shared" si="12"/>
        <v>2922.0638969029314</v>
      </c>
      <c r="AU42" s="775">
        <f t="shared" si="13"/>
        <v>814.50653992268769</v>
      </c>
      <c r="AV42" s="419">
        <f t="shared" si="14"/>
        <v>0</v>
      </c>
      <c r="AW42" s="775">
        <f t="shared" si="15"/>
        <v>1114.4231412896495</v>
      </c>
      <c r="AX42" s="530">
        <f t="shared" si="16"/>
        <v>42049.756001565111</v>
      </c>
      <c r="AZ42" s="684">
        <f t="shared" si="22"/>
        <v>58.966097561865112</v>
      </c>
      <c r="BA42" s="417">
        <f t="shared" si="17"/>
        <v>0.13964400275151623</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28.04065142078467</v>
      </c>
      <c r="AB43" s="236">
        <f>'Input data'!L87</f>
        <v>42933.110036234546</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37980.209927455369</v>
      </c>
      <c r="AT43" s="775">
        <f t="shared" si="12"/>
        <v>2983.4487223652964</v>
      </c>
      <c r="AU43" s="775">
        <f t="shared" si="13"/>
        <v>831.61716568419195</v>
      </c>
      <c r="AV43" s="419">
        <f t="shared" si="14"/>
        <v>0</v>
      </c>
      <c r="AW43" s="775">
        <f t="shared" si="15"/>
        <v>1137.8342207296955</v>
      </c>
      <c r="AX43" s="530">
        <f t="shared" si="16"/>
        <v>42933.110036234553</v>
      </c>
      <c r="AZ43" s="684">
        <f t="shared" si="22"/>
        <v>60.277086768134559</v>
      </c>
      <c r="BA43" s="417">
        <f t="shared" si="17"/>
        <v>0.13971636498549742</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28.04065142078467</v>
      </c>
      <c r="AB44" s="236">
        <f>'Input data'!L88</f>
        <v>44736.357565164421</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39575.429086796947</v>
      </c>
      <c r="AT44" s="775">
        <f t="shared" si="12"/>
        <v>3108.7575232360859</v>
      </c>
      <c r="AU44" s="775">
        <f t="shared" si="13"/>
        <v>866.54618894316502</v>
      </c>
      <c r="AV44" s="419">
        <f t="shared" si="14"/>
        <v>0</v>
      </c>
      <c r="AW44" s="775">
        <f t="shared" si="15"/>
        <v>1185.6247661882242</v>
      </c>
      <c r="AX44" s="530">
        <f t="shared" si="16"/>
        <v>44736.357565164421</v>
      </c>
      <c r="AZ44" s="684">
        <f t="shared" si="22"/>
        <v>62.499016515564421</v>
      </c>
      <c r="BA44" s="417">
        <f t="shared" si="17"/>
        <v>0.13941755813513509</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28.04065142078467</v>
      </c>
      <c r="AB45" s="236">
        <f>'Input data'!L89</f>
        <v>45807.696769448579</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40523.175193423842</v>
      </c>
      <c r="AT45" s="775">
        <f t="shared" si="12"/>
        <v>3183.2055559442647</v>
      </c>
      <c r="AU45" s="775">
        <f t="shared" si="13"/>
        <v>887.29809980639413</v>
      </c>
      <c r="AV45" s="419">
        <f t="shared" si="14"/>
        <v>0</v>
      </c>
      <c r="AW45" s="775">
        <f t="shared" si="15"/>
        <v>1214.0179202740806</v>
      </c>
      <c r="AX45" s="530">
        <f t="shared" si="16"/>
        <v>45807.696769448587</v>
      </c>
      <c r="AZ45" s="684">
        <f t="shared" si="22"/>
        <v>63.972185320748586</v>
      </c>
      <c r="BA45" s="417">
        <f t="shared" si="17"/>
        <v>0.13939525813560871</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28.04065142078467</v>
      </c>
      <c r="AB46" s="236">
        <f>'Input data'!L90</f>
        <v>45662.126470609757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40394.398347198759</v>
      </c>
      <c r="AT46" s="775">
        <f t="shared" si="12"/>
        <v>3173.0897846498374</v>
      </c>
      <c r="AU46" s="775">
        <f t="shared" si="13"/>
        <v>884.47839354178927</v>
      </c>
      <c r="AV46" s="419">
        <f t="shared" si="14"/>
        <v>0</v>
      </c>
      <c r="AW46" s="775">
        <f t="shared" si="15"/>
        <v>1210.1599452193764</v>
      </c>
      <c r="AX46" s="530">
        <f t="shared" si="16"/>
        <v>45662.126470609765</v>
      </c>
      <c r="AZ46" s="684">
        <f t="shared" si="22"/>
        <v>64.200005830609754</v>
      </c>
      <c r="BA46" s="417">
        <f t="shared" si="17"/>
        <v>0.13980223022241048</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28.04065142078467</v>
      </c>
      <c r="AB47" s="236">
        <f>'Input data'!L91</f>
        <v>45197.185624451609</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39983.094555648793</v>
      </c>
      <c r="AT47" s="775">
        <f t="shared" si="12"/>
        <v>3140.7807538743996</v>
      </c>
      <c r="AU47" s="775">
        <f t="shared" si="13"/>
        <v>875.47245876635554</v>
      </c>
      <c r="AV47" s="419">
        <f t="shared" si="14"/>
        <v>0</v>
      </c>
      <c r="AW47" s="775">
        <f t="shared" si="15"/>
        <v>1197.8378561620666</v>
      </c>
      <c r="AX47" s="530">
        <f t="shared" si="16"/>
        <v>45197.185624451624</v>
      </c>
      <c r="AZ47" s="684">
        <f t="shared" si="22"/>
        <v>64.121095256351623</v>
      </c>
      <c r="BA47" s="417">
        <f t="shared" si="17"/>
        <v>0.1403418478615496</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28.04065142078467</v>
      </c>
      <c r="AB48" s="236">
        <f>'Input data'!L92</f>
        <v>44231.296055430154</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39128.633079011917</v>
      </c>
      <c r="AT48" s="775">
        <f t="shared" si="12"/>
        <v>3073.6604824053411</v>
      </c>
      <c r="AU48" s="775">
        <f t="shared" si="13"/>
        <v>856.76311427499149</v>
      </c>
      <c r="AV48" s="419">
        <f t="shared" si="14"/>
        <v>0</v>
      </c>
      <c r="AW48" s="775">
        <f t="shared" si="15"/>
        <v>1172.2393797379054</v>
      </c>
      <c r="AX48" s="530">
        <f t="shared" si="16"/>
        <v>44231.296055430154</v>
      </c>
      <c r="AZ48" s="684">
        <f t="shared" si="22"/>
        <v>63.554402066730148</v>
      </c>
      <c r="BA48" s="417">
        <f t="shared" si="17"/>
        <v>0.14109619297909318</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28.04065142078467</v>
      </c>
      <c r="AB49" s="236">
        <f>'Input data'!L93</f>
        <v>44776.897900051867</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39611.292559726237</v>
      </c>
      <c r="AT49" s="775">
        <f t="shared" si="12"/>
        <v>3111.5746965138228</v>
      </c>
      <c r="AU49" s="775">
        <f t="shared" si="13"/>
        <v>867.33145789681248</v>
      </c>
      <c r="AV49" s="419">
        <f t="shared" si="14"/>
        <v>0</v>
      </c>
      <c r="AW49" s="775">
        <f t="shared" si="15"/>
        <v>1186.699185915</v>
      </c>
      <c r="AX49" s="530">
        <f t="shared" si="16"/>
        <v>44776.897900051874</v>
      </c>
      <c r="AZ49" s="684">
        <f t="shared" si="22"/>
        <v>64.512366398251871</v>
      </c>
      <c r="BA49" s="417">
        <f t="shared" si="17"/>
        <v>0.14125507323216985</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28.04065142078467</v>
      </c>
      <c r="AB50" s="236">
        <f>'Input data'!L94</f>
        <v>46209.759102563185</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40878.85433715993</v>
      </c>
      <c r="AT50" s="775">
        <f t="shared" si="12"/>
        <v>3211.1451194426832</v>
      </c>
      <c r="AU50" s="775">
        <f t="shared" si="13"/>
        <v>895.08607364781744</v>
      </c>
      <c r="AV50" s="419">
        <f t="shared" si="14"/>
        <v>0</v>
      </c>
      <c r="AW50" s="775">
        <f t="shared" si="15"/>
        <v>1224.6735723127545</v>
      </c>
      <c r="AX50" s="530">
        <f t="shared" si="16"/>
        <v>46209.759102563192</v>
      </c>
      <c r="AZ50" s="684">
        <f t="shared" si="22"/>
        <v>66.371282839463191</v>
      </c>
      <c r="BA50" s="417">
        <f t="shared" si="17"/>
        <v>0.14107320383471725</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28.04065142078467</v>
      </c>
      <c r="AB51" s="236">
        <f>'Input data'!L95</f>
        <v>47642.259517411476</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42146.096948542778</v>
      </c>
      <c r="AT51" s="775">
        <f t="shared" si="12"/>
        <v>3310.6904710107365</v>
      </c>
      <c r="AU51" s="775">
        <f t="shared" si="13"/>
        <v>922.8337009180558</v>
      </c>
      <c r="AV51" s="419">
        <f t="shared" si="14"/>
        <v>0</v>
      </c>
      <c r="AW51" s="775">
        <f t="shared" si="15"/>
        <v>1262.6383969399067</v>
      </c>
      <c r="AX51" s="530">
        <f t="shared" si="16"/>
        <v>47642.259517411469</v>
      </c>
      <c r="AZ51" s="684">
        <f t="shared" si="22"/>
        <v>68.244584533411469</v>
      </c>
      <c r="BA51" s="417">
        <f t="shared" si="17"/>
        <v>0.14091414927378662</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28.04065142078467</v>
      </c>
      <c r="AB52" s="236">
        <f>'Input data'!L96</f>
        <v>49690.876181657091</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43958.378679432171</v>
      </c>
      <c r="AT52" s="775">
        <f t="shared" si="12"/>
        <v>3453.0501268661242</v>
      </c>
      <c r="AU52" s="775">
        <f t="shared" si="13"/>
        <v>962.51554046929004</v>
      </c>
      <c r="AV52" s="419">
        <f t="shared" si="14"/>
        <v>0</v>
      </c>
      <c r="AW52" s="775">
        <f t="shared" si="15"/>
        <v>1316.9318348895097</v>
      </c>
      <c r="AX52" s="530">
        <f t="shared" si="16"/>
        <v>49690.876181657099</v>
      </c>
      <c r="AZ52" s="684">
        <f t="shared" si="22"/>
        <v>70.756648181657113</v>
      </c>
      <c r="BA52" s="417">
        <f t="shared" si="17"/>
        <v>0.14056137702694677</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28.04065142078467</v>
      </c>
      <c r="AB53" s="236">
        <f>'Input data'!L97</f>
        <v>50982.840013839123</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45101.29745525671</v>
      </c>
      <c r="AT53" s="775">
        <f t="shared" si="12"/>
        <v>3542.8295032311853</v>
      </c>
      <c r="AU53" s="775">
        <f t="shared" si="13"/>
        <v>987.54096488832045</v>
      </c>
      <c r="AV53" s="419">
        <f t="shared" si="14"/>
        <v>0</v>
      </c>
      <c r="AW53" s="775">
        <f t="shared" si="15"/>
        <v>1351.1720904629149</v>
      </c>
      <c r="AX53" s="530">
        <f t="shared" si="16"/>
        <v>50982.840013839137</v>
      </c>
      <c r="AZ53" s="684">
        <f t="shared" si="22"/>
        <v>72.536284635639134</v>
      </c>
      <c r="BA53" s="417">
        <f t="shared" si="17"/>
        <v>0.14051217999570234</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28.04065142078467</v>
      </c>
      <c r="AB54" s="236">
        <f>'Input data'!L98</f>
        <v>51237.754675303018</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45326.804350699727</v>
      </c>
      <c r="AT54" s="775">
        <f t="shared" si="12"/>
        <v>3560.5436828099473</v>
      </c>
      <c r="AU54" s="775">
        <f t="shared" si="13"/>
        <v>992.47867865000785</v>
      </c>
      <c r="AV54" s="419">
        <f t="shared" si="14"/>
        <v>0</v>
      </c>
      <c r="AW54" s="775">
        <f t="shared" si="15"/>
        <v>1357.9279631433367</v>
      </c>
      <c r="AX54" s="530">
        <f t="shared" si="16"/>
        <v>51237.754675303018</v>
      </c>
      <c r="AZ54" s="684">
        <f t="shared" si="22"/>
        <v>73.304150845303027</v>
      </c>
      <c r="BA54" s="417">
        <f t="shared" si="17"/>
        <v>0.14084099521718724</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28.04065142078467</v>
      </c>
      <c r="AB55" s="236">
        <f>'Input data'!L99</f>
        <v>52467.4588635326</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46414.645953095016</v>
      </c>
      <c r="AT55" s="775">
        <f t="shared" si="12"/>
        <v>3645.9965974989709</v>
      </c>
      <c r="AU55" s="775">
        <f t="shared" si="13"/>
        <v>1016.2981296700335</v>
      </c>
      <c r="AV55" s="419">
        <f t="shared" si="14"/>
        <v>0</v>
      </c>
      <c r="AW55" s="775">
        <f t="shared" si="15"/>
        <v>1390.5181832685817</v>
      </c>
      <c r="AX55" s="530">
        <f t="shared" si="16"/>
        <v>52467.4588635326</v>
      </c>
      <c r="AZ55" s="684">
        <f t="shared" si="22"/>
        <v>75.072612152432612</v>
      </c>
      <c r="BA55" s="417">
        <f t="shared" si="17"/>
        <v>0.14084821701351918</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28.04065142078467</v>
      </c>
      <c r="AB56" s="471">
        <f>'Input data'!L100</f>
        <v>54671.093959569844</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48364.062696498106</v>
      </c>
      <c r="AT56" s="517">
        <f t="shared" si="12"/>
        <v>3799.12858132877</v>
      </c>
      <c r="AU56" s="517">
        <f t="shared" si="13"/>
        <v>1058.982686442698</v>
      </c>
      <c r="AV56" s="471">
        <f t="shared" si="14"/>
        <v>0</v>
      </c>
      <c r="AW56" s="517">
        <f t="shared" si="15"/>
        <v>1448.9199953002744</v>
      </c>
      <c r="AX56" s="534">
        <f t="shared" si="16"/>
        <v>54671.093959569851</v>
      </c>
      <c r="AY56" s="1"/>
      <c r="AZ56" s="1360">
        <f t="shared" si="22"/>
        <v>80.135213959569853</v>
      </c>
      <c r="BA56" s="415">
        <f t="shared" si="17"/>
        <v>0.14225775036706395</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28.04065142078467</v>
      </c>
      <c r="AB57" s="1238">
        <f>'Input data'!L101</f>
        <v>56147.210526197698</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49669.889761684033</v>
      </c>
      <c r="AT57" s="1242">
        <f t="shared" si="12"/>
        <v>3901.7048466179908</v>
      </c>
      <c r="AU57" s="1242">
        <f t="shared" si="13"/>
        <v>1087.5751614421215</v>
      </c>
      <c r="AV57" s="1238">
        <f t="shared" si="14"/>
        <v>0</v>
      </c>
      <c r="AW57" s="1242">
        <f t="shared" si="15"/>
        <v>1488.0407564535585</v>
      </c>
      <c r="AX57" s="744">
        <f t="shared" si="16"/>
        <v>56147.210526197705</v>
      </c>
      <c r="AY57" s="1"/>
      <c r="AZ57" s="1152">
        <f t="shared" si="22"/>
        <v>82.13797482619772</v>
      </c>
      <c r="BA57" s="411">
        <f t="shared" si="17"/>
        <v>0.14214464928333989</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28.04065142078467</v>
      </c>
      <c r="AB58" s="1238">
        <f>'Input data'!L102</f>
        <v>58224.87199564941</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51507.865596683245</v>
      </c>
      <c r="AT58" s="1242">
        <f t="shared" si="12"/>
        <v>4046.0828441893723</v>
      </c>
      <c r="AU58" s="1242">
        <f t="shared" si="13"/>
        <v>1127.8196007808615</v>
      </c>
      <c r="AV58" s="1238">
        <f t="shared" si="14"/>
        <v>0</v>
      </c>
      <c r="AW58" s="1242">
        <f t="shared" si="15"/>
        <v>1543.1039539959334</v>
      </c>
      <c r="AX58" s="744">
        <f t="shared" si="16"/>
        <v>58224.87199564941</v>
      </c>
      <c r="AY58" s="1"/>
      <c r="AZ58" s="1152">
        <f t="shared" si="22"/>
        <v>84.576185085649414</v>
      </c>
      <c r="BA58" s="411">
        <f t="shared" si="17"/>
        <v>0.14173338517014908</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28.04065142078467</v>
      </c>
      <c r="AB59" s="1238">
        <f>'Input data'!L103</f>
        <v>59941.969548218069</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52412.549808935393</v>
      </c>
      <c r="AT59" s="1242">
        <f t="shared" si="12"/>
        <v>4165.4050292130978</v>
      </c>
      <c r="AU59" s="1242">
        <f t="shared" si="13"/>
        <v>1161.0798933304866</v>
      </c>
      <c r="AV59" s="1238">
        <f t="shared" si="14"/>
        <v>0</v>
      </c>
      <c r="AW59" s="1242">
        <f t="shared" si="15"/>
        <v>2202.9348167390922</v>
      </c>
      <c r="AX59" s="744">
        <f t="shared" si="16"/>
        <v>59941.969548218069</v>
      </c>
      <c r="AY59" s="1"/>
      <c r="AZ59" s="1152">
        <f t="shared" si="22"/>
        <v>86.630682228218063</v>
      </c>
      <c r="BA59" s="411">
        <f t="shared" si="17"/>
        <v>0.14852892698438741</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28.04065142078467</v>
      </c>
      <c r="AB60" s="1238">
        <f>'Input data'!L104</f>
        <v>62672.058167683506</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54157.403840904612</v>
      </c>
      <c r="AT60" s="1242">
        <f t="shared" si="12"/>
        <v>4355.1205983114914</v>
      </c>
      <c r="AU60" s="1242">
        <f t="shared" si="13"/>
        <v>1213.9618894838136</v>
      </c>
      <c r="AV60" s="1238">
        <f t="shared" si="14"/>
        <v>0</v>
      </c>
      <c r="AW60" s="1242">
        <f t="shared" si="15"/>
        <v>2945.5718389835893</v>
      </c>
      <c r="AX60" s="744">
        <f t="shared" si="16"/>
        <v>62672.058167683506</v>
      </c>
      <c r="AY60" s="1"/>
      <c r="AZ60" s="1152">
        <f t="shared" si="22"/>
        <v>89.6784936176835</v>
      </c>
      <c r="BA60" s="411">
        <f t="shared" si="17"/>
        <v>0.15517590511840215</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28.04065142078467</v>
      </c>
      <c r="AB61" s="1238">
        <f>'Input data'!L105</f>
        <v>65979.297969081555</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56339.122643382972</v>
      </c>
      <c r="AT61" s="1242">
        <f t="shared" si="12"/>
        <v>4584.9427647398998</v>
      </c>
      <c r="AU61" s="1242">
        <f t="shared" si="13"/>
        <v>1278.0233419980934</v>
      </c>
      <c r="AV61" s="1238">
        <f t="shared" si="14"/>
        <v>0</v>
      </c>
      <c r="AW61" s="1242">
        <f t="shared" si="15"/>
        <v>3777.2092189605914</v>
      </c>
      <c r="AX61" s="744">
        <f t="shared" si="16"/>
        <v>65979.297969081555</v>
      </c>
      <c r="AY61" s="1"/>
      <c r="AZ61" s="1152">
        <f t="shared" si="22"/>
        <v>93.294196509081559</v>
      </c>
      <c r="BA61" s="411">
        <f t="shared" si="17"/>
        <v>0.16188740134793256</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28.04065142078467</v>
      </c>
      <c r="AB62" s="1238">
        <f>'Input data'!L106</f>
        <v>69676.644322777996</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58782.162420908979</v>
      </c>
      <c r="AT62" s="1242">
        <f t="shared" si="12"/>
        <v>4841.8736799651851</v>
      </c>
      <c r="AU62" s="1242">
        <f t="shared" si="13"/>
        <v>1349.6411840928959</v>
      </c>
      <c r="AV62" s="1238">
        <f t="shared" si="14"/>
        <v>0</v>
      </c>
      <c r="AW62" s="1242">
        <f t="shared" si="15"/>
        <v>4702.967037810934</v>
      </c>
      <c r="AX62" s="744">
        <f t="shared" si="16"/>
        <v>69676.644322777982</v>
      </c>
      <c r="AY62" s="1"/>
      <c r="AZ62" s="1152">
        <f t="shared" si="22"/>
        <v>97.30000595277798</v>
      </c>
      <c r="BA62" s="411">
        <f t="shared" si="17"/>
        <v>0.16874772069220229</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28.04065142078467</v>
      </c>
      <c r="AB63" s="1238">
        <f>'Input data'!L107</f>
        <v>73411.644043358319</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61180.796751036236</v>
      </c>
      <c r="AT63" s="1242">
        <f t="shared" si="12"/>
        <v>5101.4211512523925</v>
      </c>
      <c r="AU63" s="1242">
        <f t="shared" si="13"/>
        <v>1421.9883743812022</v>
      </c>
      <c r="AV63" s="1238">
        <f t="shared" si="14"/>
        <v>0</v>
      </c>
      <c r="AW63" s="1242">
        <f t="shared" si="15"/>
        <v>5707.4377666884848</v>
      </c>
      <c r="AX63" s="744">
        <f t="shared" si="16"/>
        <v>73411.644043358305</v>
      </c>
      <c r="AY63" s="1"/>
      <c r="AZ63" s="1152">
        <f t="shared" si="22"/>
        <v>101.33941765335831</v>
      </c>
      <c r="BA63" s="411">
        <f t="shared" si="17"/>
        <v>0.17580920067317604</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28.04065142078467</v>
      </c>
      <c r="AB64" s="1238">
        <f>'Input data'!L108</f>
        <v>75754.243918118431</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62356.726800728437</v>
      </c>
      <c r="AT64" s="1242">
        <f t="shared" si="12"/>
        <v>5264.2098846441177</v>
      </c>
      <c r="AU64" s="1242">
        <f t="shared" si="13"/>
        <v>1467.3646880592926</v>
      </c>
      <c r="AV64" s="1238">
        <f t="shared" si="14"/>
        <v>0</v>
      </c>
      <c r="AW64" s="1242">
        <f t="shared" si="15"/>
        <v>6665.9425446865725</v>
      </c>
      <c r="AX64" s="744">
        <f t="shared" si="16"/>
        <v>75754.243918118416</v>
      </c>
      <c r="AY64" s="1"/>
      <c r="AZ64" s="1152">
        <f t="shared" si="22"/>
        <v>103.99221680811841</v>
      </c>
      <c r="BA64" s="411">
        <f t="shared" si="17"/>
        <v>0.1831397798792109</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28.04065142078467</v>
      </c>
      <c r="AB65" s="1238">
        <f>'Input data'!L109</f>
        <v>74589.075972361505</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60633.188249314939</v>
      </c>
      <c r="AT65" s="1242">
        <f t="shared" si="12"/>
        <v>5183.2416338890325</v>
      </c>
      <c r="AU65" s="1242">
        <f t="shared" si="13"/>
        <v>1444.7953083013701</v>
      </c>
      <c r="AV65" s="1238">
        <f t="shared" si="14"/>
        <v>0</v>
      </c>
      <c r="AW65" s="1242">
        <f t="shared" si="15"/>
        <v>7327.8507808561517</v>
      </c>
      <c r="AX65" s="744">
        <f t="shared" si="16"/>
        <v>74589.07597236149</v>
      </c>
      <c r="AY65" s="1"/>
      <c r="AZ65" s="1152">
        <f t="shared" si="22"/>
        <v>103.13203957236149</v>
      </c>
      <c r="BA65" s="411">
        <f t="shared" si="17"/>
        <v>0.19067285515331228</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28.04065142078467</v>
      </c>
      <c r="AB66" s="471">
        <f>'Input data'!L110</f>
        <v>76856.383098571241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61688.600760156958</v>
      </c>
      <c r="AT66" s="517">
        <f t="shared" si="12"/>
        <v>5340.7982269984341</v>
      </c>
      <c r="AU66" s="517">
        <f t="shared" si="13"/>
        <v>1488.713196487033</v>
      </c>
      <c r="AV66" s="471">
        <f t="shared" si="14"/>
        <v>0</v>
      </c>
      <c r="AW66" s="517">
        <f t="shared" si="15"/>
        <v>8338.2709149287966</v>
      </c>
      <c r="AX66" s="534">
        <f t="shared" si="16"/>
        <v>76856.383098571227</v>
      </c>
      <c r="AY66" s="413"/>
      <c r="AZ66" s="1244">
        <f t="shared" si="22"/>
        <v>104.75474037198225</v>
      </c>
      <c r="BA66" s="415">
        <f t="shared" si="17"/>
        <v>0.20921897453514887</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28.04065142078467</v>
      </c>
      <c r="AB67" s="1238">
        <f>'Input data'!L111</f>
        <v>79380.475947387997</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62901.016425522321</v>
      </c>
      <c r="AT67" s="1242">
        <f t="shared" si="12"/>
        <v>5516.1990208980178</v>
      </c>
      <c r="AU67" s="1242">
        <f t="shared" si="13"/>
        <v>1537.60504101181</v>
      </c>
      <c r="AV67" s="1238">
        <f t="shared" si="14"/>
        <v>0</v>
      </c>
      <c r="AW67" s="1242">
        <f t="shared" si="15"/>
        <v>9425.6554599558258</v>
      </c>
      <c r="AX67" s="744">
        <f t="shared" si="16"/>
        <v>79380.475947387968</v>
      </c>
      <c r="AY67" s="1"/>
      <c r="AZ67" s="1152">
        <f t="shared" si="22"/>
        <v>107.34268074609309</v>
      </c>
      <c r="BA67" s="411">
        <f t="shared" si="17"/>
        <v>0.22745568833101273</v>
      </c>
      <c r="BB67" s="1362">
        <f>'Input data'!D111/10^6</f>
        <v>0</v>
      </c>
    </row>
    <row r="68" spans="1:54">
      <c r="A68" s="990">
        <f>'Input data'!A112</f>
        <v>2012</v>
      </c>
      <c r="B68" s="1649">
        <f>'Input data'!I112</f>
        <v>520.80492521020824</v>
      </c>
      <c r="C68" s="663">
        <f>B68*'Input data'!B112</f>
        <v>27251.117711624149</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28.04065142078467</v>
      </c>
      <c r="AB68" s="1238">
        <f>'Input data'!L112</f>
        <v>81137.86813815411</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18374.59528039318</v>
      </c>
      <c r="AM68" s="1238">
        <f t="shared" si="2"/>
        <v>4042.2600443407064</v>
      </c>
      <c r="AN68" s="1238">
        <f t="shared" si="3"/>
        <v>2060.0821081723147</v>
      </c>
      <c r="AO68" s="1238">
        <f t="shared" si="4"/>
        <v>2774.1802787179481</v>
      </c>
      <c r="AP68" s="1238">
        <f t="shared" si="5"/>
        <v>0</v>
      </c>
      <c r="AQ68" s="663">
        <f t="shared" si="10"/>
        <v>27251.117711624149</v>
      </c>
      <c r="AR68" s="1"/>
      <c r="AS68" s="1241">
        <f t="shared" si="11"/>
        <v>63462.019804422627</v>
      </c>
      <c r="AT68" s="1242">
        <f t="shared" si="12"/>
        <v>5638.3213055825154</v>
      </c>
      <c r="AU68" s="1242">
        <f t="shared" si="13"/>
        <v>1571.6458433540349</v>
      </c>
      <c r="AV68" s="1238">
        <f t="shared" si="14"/>
        <v>0</v>
      </c>
      <c r="AW68" s="1242">
        <f t="shared" si="15"/>
        <v>10465.881184794942</v>
      </c>
      <c r="AX68" s="744">
        <f t="shared" si="16"/>
        <v>81137.868138154125</v>
      </c>
      <c r="AY68" s="1"/>
      <c r="AZ68" s="1152">
        <f t="shared" si="22"/>
        <v>108.38898584977827</v>
      </c>
      <c r="BA68" s="411">
        <f t="shared" si="17"/>
        <v>0.24497296064530694</v>
      </c>
      <c r="BB68" s="1362">
        <f>'Input data'!D112/10^6</f>
        <v>0</v>
      </c>
    </row>
    <row r="69" spans="1:54">
      <c r="A69" s="990">
        <f>'Input data'!A113</f>
        <v>2013</v>
      </c>
      <c r="B69" s="1649">
        <f>'Input data'!I113</f>
        <v>501.49656694694431</v>
      </c>
      <c r="C69" s="663">
        <f>B69*'Input data'!B113</f>
        <v>26631.473691150532</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28.04065142078467</v>
      </c>
      <c r="AB69" s="1238">
        <f>'Input data'!L113</f>
        <v>83148.102438510148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16840.658038780697</v>
      </c>
      <c r="AM69" s="1238">
        <f t="shared" si="2"/>
        <v>4620.291700076833</v>
      </c>
      <c r="AN69" s="1238">
        <f t="shared" si="3"/>
        <v>2354.6679732272769</v>
      </c>
      <c r="AO69" s="1238">
        <f t="shared" si="4"/>
        <v>2815.8559790657214</v>
      </c>
      <c r="AP69" s="1238">
        <f t="shared" si="5"/>
        <v>0</v>
      </c>
      <c r="AQ69" s="663">
        <f t="shared" si="10"/>
        <v>26631.473691150528</v>
      </c>
      <c r="AR69" s="1"/>
      <c r="AS69" s="1241">
        <f t="shared" si="11"/>
        <v>65034.325460315675</v>
      </c>
      <c r="AT69" s="1242">
        <f t="shared" si="12"/>
        <v>5778.0137469171968</v>
      </c>
      <c r="AU69" s="1242">
        <f t="shared" si="13"/>
        <v>1610.5842139918088</v>
      </c>
      <c r="AV69" s="1238">
        <f t="shared" si="14"/>
        <v>0</v>
      </c>
      <c r="AW69" s="1242">
        <f t="shared" si="15"/>
        <v>10725.179017285471</v>
      </c>
      <c r="AX69" s="744">
        <f t="shared" si="16"/>
        <v>83148.102438510148</v>
      </c>
      <c r="AY69" s="1"/>
      <c r="AZ69" s="1152">
        <f t="shared" si="22"/>
        <v>109.77957612966068</v>
      </c>
      <c r="BA69" s="411">
        <f t="shared" si="17"/>
        <v>0.25418746923932545</v>
      </c>
      <c r="BB69" s="1362">
        <f>'Input data'!D113/10^6</f>
        <v>0</v>
      </c>
    </row>
    <row r="70" spans="1:54">
      <c r="A70" s="990">
        <f>'Input data'!A114</f>
        <v>2014</v>
      </c>
      <c r="B70" s="1649">
        <f>'Input data'!I114</f>
        <v>482.18820868368039</v>
      </c>
      <c r="C70" s="663">
        <f>B70*'Input data'!B114</f>
        <v>25995.730706554576</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28.04065142078467</v>
      </c>
      <c r="AB70" s="1238">
        <f>'Input data'!L114</f>
        <v>84709.686316133651</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15349.153981617965</v>
      </c>
      <c r="AM70" s="1238">
        <f t="shared" ref="AM70:AM73" si="41">C70*Y70*U70</f>
        <v>5163.9496245303471</v>
      </c>
      <c r="AN70" s="1238">
        <f t="shared" ref="AN70:AN73" si="42">C70*U70*Z70</f>
        <v>2631.7357399833486</v>
      </c>
      <c r="AO70" s="1238">
        <f t="shared" ref="AO70:AO73" si="43">C70*V70</f>
        <v>2850.8913604229128</v>
      </c>
      <c r="AP70" s="1238">
        <f t="shared" ref="AP70:AP73" si="44">C70*W70</f>
        <v>0</v>
      </c>
      <c r="AQ70" s="663">
        <f t="shared" si="10"/>
        <v>25995.730706554572</v>
      </c>
      <c r="AR70" s="1"/>
      <c r="AS70" s="1241">
        <f t="shared" si="11"/>
        <v>66255.718987679124</v>
      </c>
      <c r="AT70" s="1242">
        <f t="shared" si="12"/>
        <v>5886.5291892094065</v>
      </c>
      <c r="AU70" s="1242">
        <f t="shared" si="13"/>
        <v>1640.8321964275412</v>
      </c>
      <c r="AV70" s="1238">
        <f t="shared" si="14"/>
        <v>0</v>
      </c>
      <c r="AW70" s="1242">
        <f t="shared" si="15"/>
        <v>10926.60594281759</v>
      </c>
      <c r="AX70" s="744">
        <f t="shared" si="16"/>
        <v>84709.686316133666</v>
      </c>
      <c r="AY70" s="1"/>
      <c r="AZ70" s="1152">
        <f t="shared" si="22"/>
        <v>110.70541702268824</v>
      </c>
      <c r="BA70" s="411">
        <f t="shared" si="17"/>
        <v>0.26286468030220433</v>
      </c>
      <c r="BB70" s="1362">
        <f>'Input data'!D114/10^6</f>
        <v>0</v>
      </c>
    </row>
    <row r="71" spans="1:54">
      <c r="A71" s="990">
        <f>'Input data'!A115</f>
        <v>2015</v>
      </c>
      <c r="B71" s="1649">
        <f>'Input data'!I115</f>
        <v>462.87985042041646</v>
      </c>
      <c r="C71" s="663">
        <f>B71*'Input data'!B115</f>
        <v>25342.671810517801</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28.04065142078467</v>
      </c>
      <c r="AB71" s="1238">
        <f>'Input data'!L115</f>
        <v>85788.970989319656</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13901.439698167358</v>
      </c>
      <c r="AM71" s="1238">
        <f t="shared" si="41"/>
        <v>5671.7464975452258</v>
      </c>
      <c r="AN71" s="1238">
        <f t="shared" si="42"/>
        <v>2890.5274162260434</v>
      </c>
      <c r="AO71" s="1238">
        <f t="shared" si="43"/>
        <v>2878.9581985791697</v>
      </c>
      <c r="AP71" s="1238">
        <f t="shared" si="44"/>
        <v>0</v>
      </c>
      <c r="AQ71" s="663">
        <f t="shared" ref="AQ71:AQ73" si="47">SUM(AL71:AP71)</f>
        <v>25342.671810517797</v>
      </c>
      <c r="AR71" s="1"/>
      <c r="AS71" s="1241">
        <f t="shared" ref="AS71:AS73" si="48">AC71*AB71</f>
        <v>67099.881976873206</v>
      </c>
      <c r="AT71" s="1242">
        <f t="shared" ref="AT71:AT73" si="49">AB71*AD71*AH71</f>
        <v>5961.529357530957</v>
      </c>
      <c r="AU71" s="1242">
        <f t="shared" ref="AU71:AU73" si="50">AI71*AD71*AB71</f>
        <v>1661.7380115460785</v>
      </c>
      <c r="AV71" s="1238">
        <f t="shared" ref="AV71:AV73" si="51">AE71*AB71</f>
        <v>0</v>
      </c>
      <c r="AW71" s="1242">
        <f t="shared" ref="AW71:AW73" si="52">AF71*AB71</f>
        <v>11065.821643369418</v>
      </c>
      <c r="AX71" s="744">
        <f t="shared" ref="AX71:AX73" si="53">SUM(AS71:AW71)</f>
        <v>85788.97098931967</v>
      </c>
      <c r="AY71" s="1"/>
      <c r="AZ71" s="1152">
        <f t="shared" si="22"/>
        <v>111.13164279983746</v>
      </c>
      <c r="BA71" s="411">
        <f t="shared" ref="BA71:BA73" si="54">(AX71+AQ71-AS71-AL71)/(AQ71+AX71)</f>
        <v>0.27112279064447498</v>
      </c>
      <c r="BB71" s="1362">
        <f>'Input data'!D115/10^6</f>
        <v>0</v>
      </c>
    </row>
    <row r="72" spans="1:54">
      <c r="A72" s="990">
        <f>'Input data'!A116</f>
        <v>2016</v>
      </c>
      <c r="B72" s="1649">
        <f>'Input data'!I116</f>
        <v>443.57149215715253</v>
      </c>
      <c r="C72" s="663">
        <f>B72*'Input data'!B116</f>
        <v>24671.446393780821</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28.04065142078467</v>
      </c>
      <c r="AB72" s="1238">
        <f>'Input data'!L116</f>
        <v>86475.125729586245</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12499.261385037438</v>
      </c>
      <c r="AM72" s="1238">
        <f t="shared" si="41"/>
        <v>6142.163746987485</v>
      </c>
      <c r="AN72" s="1238">
        <f t="shared" si="42"/>
        <v>3130.2690826011199</v>
      </c>
      <c r="AO72" s="1238">
        <f t="shared" si="43"/>
        <v>2899.7521791547715</v>
      </c>
      <c r="AP72" s="1238">
        <f t="shared" si="44"/>
        <v>0</v>
      </c>
      <c r="AQ72" s="663">
        <f t="shared" si="47"/>
        <v>24671.446393780818</v>
      </c>
      <c r="AR72" s="1"/>
      <c r="AS72" s="1241">
        <f t="shared" si="48"/>
        <v>67636.558213443204</v>
      </c>
      <c r="AT72" s="1242">
        <f t="shared" si="49"/>
        <v>6009.2106804415389</v>
      </c>
      <c r="AU72" s="1242">
        <f t="shared" si="50"/>
        <v>1675.0288740025762</v>
      </c>
      <c r="AV72" s="1238">
        <f t="shared" si="51"/>
        <v>0</v>
      </c>
      <c r="AW72" s="1242">
        <f t="shared" si="52"/>
        <v>11154.327961698937</v>
      </c>
      <c r="AX72" s="744">
        <f t="shared" si="53"/>
        <v>86475.125729586245</v>
      </c>
      <c r="AY72" s="1"/>
      <c r="AZ72" s="1152">
        <f t="shared" ref="AZ72:AZ73" si="59">(AX72+AQ72)*1000/10^6</f>
        <v>111.14657212336705</v>
      </c>
      <c r="BA72" s="411">
        <f t="shared" si="54"/>
        <v>0.27900772765592857</v>
      </c>
      <c r="BB72" s="1362">
        <f>'Input data'!D116/10^6</f>
        <v>0</v>
      </c>
    </row>
    <row r="73" spans="1:54" s="1" customFormat="1" ht="16.2" thickBot="1">
      <c r="A73" s="1652">
        <f>'Input data'!A117</f>
        <v>2017</v>
      </c>
      <c r="B73" s="1653">
        <f>'Input data'!I117</f>
        <v>424.26313389388866</v>
      </c>
      <c r="C73" s="538">
        <f>B73*'Input data'!B117</f>
        <v>23980.200853950373</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12.019369527266241</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11144.041726220405</v>
      </c>
      <c r="AM73" s="535">
        <f t="shared" si="41"/>
        <v>6573.32227342858</v>
      </c>
      <c r="AN73" s="535">
        <f t="shared" si="42"/>
        <v>3350.003081988611</v>
      </c>
      <c r="AO73" s="535">
        <f t="shared" si="43"/>
        <v>2912.8337723127793</v>
      </c>
      <c r="AP73" s="535">
        <f t="shared" si="44"/>
        <v>0</v>
      </c>
      <c r="AQ73" s="538">
        <f t="shared" si="47"/>
        <v>23980.200853950377</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111.48217523856577</v>
      </c>
      <c r="BA73" s="536">
        <f t="shared" si="54"/>
        <v>0.28613027236389199</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21875" customWidth="1"/>
    <col min="87" max="87" width="11.6640625" customWidth="1"/>
    <col min="88" max="88" width="13" customWidth="1"/>
    <col min="89" max="89" width="13.109375" customWidth="1"/>
    <col min="90" max="90" width="10.5546875" customWidth="1"/>
    <col min="91" max="91" width="12.33203125" customWidth="1"/>
  </cols>
  <sheetData>
    <row r="1" spans="1:11">
      <c r="A1" s="2" t="s">
        <v>542</v>
      </c>
      <c r="J1" s="99"/>
      <c r="K1" s="99"/>
    </row>
    <row r="2" spans="1:11" ht="15" thickBot="1">
      <c r="A2" s="2" t="s">
        <v>543</v>
      </c>
      <c r="B2" s="413" t="s">
        <v>555</v>
      </c>
      <c r="J2" s="99"/>
      <c r="K2" s="99"/>
    </row>
    <row r="3" spans="1:11" ht="15" thickBot="1">
      <c r="A3" s="2"/>
      <c r="C3" s="580" t="s">
        <v>551</v>
      </c>
      <c r="D3" s="581" t="s">
        <v>558</v>
      </c>
      <c r="E3" s="580" t="s">
        <v>552</v>
      </c>
      <c r="F3" s="581" t="s">
        <v>558</v>
      </c>
      <c r="G3" s="580" t="s">
        <v>553</v>
      </c>
      <c r="H3" s="581" t="s">
        <v>558</v>
      </c>
      <c r="J3" s="99"/>
      <c r="K3" s="99"/>
    </row>
    <row r="4" spans="1:11">
      <c r="A4" s="1816" t="s">
        <v>556</v>
      </c>
      <c r="B4" s="1802" t="s">
        <v>557</v>
      </c>
      <c r="C4" s="579">
        <v>0.5</v>
      </c>
      <c r="D4" s="116">
        <v>2030</v>
      </c>
      <c r="E4" s="579">
        <f>C4</f>
        <v>0.5</v>
      </c>
      <c r="F4" s="116">
        <f>2017+5</f>
        <v>2022</v>
      </c>
      <c r="G4" s="579">
        <f>E4</f>
        <v>0.5</v>
      </c>
      <c r="H4" s="116">
        <f>F4</f>
        <v>2022</v>
      </c>
      <c r="J4" s="99"/>
      <c r="K4" s="99"/>
    </row>
    <row r="5" spans="1:11">
      <c r="A5" s="1817"/>
      <c r="B5" s="1803"/>
      <c r="C5" s="575">
        <v>0.65</v>
      </c>
      <c r="D5" s="130">
        <v>2040</v>
      </c>
      <c r="E5" s="575">
        <f t="shared" ref="E5:E6" si="0">C5</f>
        <v>0.65</v>
      </c>
      <c r="F5" s="130">
        <f>2017+10</f>
        <v>2027</v>
      </c>
      <c r="G5" s="575">
        <f t="shared" ref="G5:G6" si="1">E5</f>
        <v>0.65</v>
      </c>
      <c r="H5" s="130">
        <f t="shared" ref="H5:H6" si="2">F5</f>
        <v>2027</v>
      </c>
      <c r="J5" s="99"/>
      <c r="K5" s="99"/>
    </row>
    <row r="6" spans="1:11" ht="15" thickBot="1">
      <c r="A6" s="1818"/>
      <c r="B6" s="1804"/>
      <c r="C6" s="577">
        <v>0.8</v>
      </c>
      <c r="D6" s="140">
        <v>2050</v>
      </c>
      <c r="E6" s="577">
        <f t="shared" si="0"/>
        <v>0.8</v>
      </c>
      <c r="F6" s="140">
        <f>15+2017</f>
        <v>2032</v>
      </c>
      <c r="G6" s="577">
        <f t="shared" si="1"/>
        <v>0.8</v>
      </c>
      <c r="H6" s="140">
        <f t="shared" si="2"/>
        <v>2032</v>
      </c>
      <c r="J6" s="99"/>
      <c r="K6" s="99"/>
    </row>
    <row r="7" spans="1:11" ht="15" thickBot="1">
      <c r="A7" s="591"/>
      <c r="B7" s="59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1.8" thickBot="1">
      <c r="A9" s="1861"/>
      <c r="B9" s="452" t="s">
        <v>473</v>
      </c>
      <c r="C9" s="287" t="s">
        <v>490</v>
      </c>
      <c r="D9" s="287" t="s">
        <v>377</v>
      </c>
      <c r="E9" s="287" t="s">
        <v>477</v>
      </c>
      <c r="F9" s="453" t="s">
        <v>303</v>
      </c>
      <c r="G9" s="452" t="s">
        <v>493</v>
      </c>
      <c r="H9" s="287" t="s">
        <v>494</v>
      </c>
      <c r="I9" s="453" t="s">
        <v>303</v>
      </c>
      <c r="J9" s="327"/>
      <c r="K9" s="99"/>
    </row>
    <row r="10" spans="1:11" ht="15.6">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6">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6">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2"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6">
      <c r="A14" s="470"/>
      <c r="C14" s="624"/>
      <c r="E14" s="624"/>
      <c r="F14" s="624"/>
      <c r="G14" s="436"/>
      <c r="J14" s="99"/>
      <c r="K14" s="99">
        <v>0.21707953063885269</v>
      </c>
    </row>
    <row r="15" spans="1:11" ht="15.6" customHeight="1" thickBot="1">
      <c r="B15" s="413" t="s">
        <v>554</v>
      </c>
      <c r="J15" s="99"/>
      <c r="K15" s="99">
        <v>0.71200000000000008</v>
      </c>
    </row>
    <row r="16" spans="1:11" ht="1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 thickBot="1">
      <c r="A24" s="583"/>
      <c r="B24" s="413" t="s">
        <v>559</v>
      </c>
      <c r="C24" s="58"/>
      <c r="D24" s="58"/>
      <c r="E24" s="576"/>
    </row>
    <row r="25" spans="1:11" ht="15" thickBot="1">
      <c r="A25" s="584"/>
      <c r="B25" s="588"/>
      <c r="C25" s="592" t="s">
        <v>551</v>
      </c>
      <c r="D25" s="593" t="s">
        <v>558</v>
      </c>
      <c r="E25" s="590" t="s">
        <v>552</v>
      </c>
      <c r="F25" s="581" t="s">
        <v>558</v>
      </c>
      <c r="G25" s="595"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 thickBot="1">
      <c r="A27" s="1818"/>
      <c r="B27" s="1804"/>
      <c r="C27" s="577">
        <v>0.5</v>
      </c>
      <c r="D27" s="163">
        <f>2017+10</f>
        <v>2027</v>
      </c>
      <c r="E27" s="1831"/>
      <c r="F27" s="1833"/>
      <c r="G27" s="1859"/>
      <c r="H27" s="1833"/>
    </row>
    <row r="28" spans="1:11" ht="15" thickBot="1">
      <c r="A28" s="591"/>
      <c r="B28" s="591"/>
      <c r="C28" s="576"/>
      <c r="D28" s="104"/>
      <c r="E28" s="576"/>
      <c r="F28" s="104"/>
      <c r="G28" s="576"/>
      <c r="H28" s="104"/>
    </row>
    <row r="29" spans="1:11">
      <c r="A29" s="594"/>
      <c r="B29" s="600"/>
      <c r="C29" s="1827" t="s">
        <v>551</v>
      </c>
      <c r="D29" s="1828"/>
      <c r="E29" s="1827" t="s">
        <v>552</v>
      </c>
      <c r="F29" s="1828"/>
      <c r="G29" s="1829" t="s">
        <v>553</v>
      </c>
      <c r="H29" s="1828"/>
    </row>
    <row r="30" spans="1:11" ht="15" thickBot="1">
      <c r="A30" s="596"/>
      <c r="B30" s="601"/>
      <c r="C30" s="597" t="s">
        <v>562</v>
      </c>
      <c r="D30" s="598" t="s">
        <v>176</v>
      </c>
      <c r="E30" s="597" t="s">
        <v>562</v>
      </c>
      <c r="F30" s="598" t="s">
        <v>176</v>
      </c>
      <c r="G30" s="599" t="s">
        <v>562</v>
      </c>
      <c r="H30" s="598" t="s">
        <v>176</v>
      </c>
    </row>
    <row r="31" spans="1:11" ht="15" thickBot="1">
      <c r="A31" s="602" t="s">
        <v>561</v>
      </c>
      <c r="B31" s="603" t="s">
        <v>557</v>
      </c>
      <c r="C31" s="577">
        <v>0.1</v>
      </c>
      <c r="D31" s="587">
        <v>0.9</v>
      </c>
      <c r="E31" s="577">
        <v>0.1</v>
      </c>
      <c r="F31" s="587">
        <v>0.9</v>
      </c>
      <c r="G31" s="578">
        <v>0.5</v>
      </c>
      <c r="H31" s="587">
        <v>0.5</v>
      </c>
    </row>
    <row r="32" spans="1:11">
      <c r="A32" s="583"/>
      <c r="B32" s="58"/>
      <c r="C32" s="58"/>
      <c r="D32" s="58"/>
      <c r="E32" s="576"/>
    </row>
    <row r="33" spans="1:24" ht="15" thickBot="1">
      <c r="A33" s="583"/>
      <c r="B33" s="413" t="s">
        <v>563</v>
      </c>
      <c r="C33" s="58"/>
      <c r="D33" s="58"/>
      <c r="E33" s="576"/>
    </row>
    <row r="34" spans="1:24" ht="28.95"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 thickBot="1">
      <c r="A39" s="1009" t="s">
        <v>553</v>
      </c>
      <c r="B39" s="991">
        <v>2030</v>
      </c>
      <c r="C39" s="609">
        <f>C37</f>
        <v>0</v>
      </c>
      <c r="D39" s="606">
        <f>D37</f>
        <v>0</v>
      </c>
      <c r="E39" s="606">
        <v>1</v>
      </c>
      <c r="F39" s="606">
        <v>0</v>
      </c>
      <c r="G39" s="607">
        <v>0</v>
      </c>
    </row>
    <row r="40" spans="1:24">
      <c r="A40" s="2"/>
    </row>
    <row r="41" spans="1:24" ht="15" thickBot="1">
      <c r="A41" s="2"/>
      <c r="B41" s="413" t="s">
        <v>567</v>
      </c>
    </row>
    <row r="42" spans="1:24" ht="1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29.4"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6">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6">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 thickBot="1">
      <c r="A57" s="337"/>
      <c r="B57" s="396" t="s">
        <v>593</v>
      </c>
      <c r="C57" s="396">
        <v>56521948</v>
      </c>
      <c r="D57" s="1306"/>
      <c r="E57" s="1306"/>
      <c r="F57" s="1306"/>
      <c r="G57" s="1306"/>
      <c r="H57" s="1306"/>
      <c r="I57" s="1306"/>
      <c r="J57" s="3"/>
      <c r="K57" s="3"/>
      <c r="L57" s="3"/>
      <c r="M57" s="3"/>
      <c r="N57" s="3"/>
    </row>
    <row r="58" spans="1:45" ht="16.2"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6">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6">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6">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2"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6">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6">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6">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6">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6">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6">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6">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6">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6"/>
      <c r="BK75" s="1866"/>
      <c r="BL75" s="1866"/>
      <c r="BM75" s="1866"/>
      <c r="BN75" s="1866"/>
      <c r="BO75" s="1866"/>
      <c r="BP75" s="1866"/>
      <c r="BQ75" s="1866"/>
      <c r="BR75" s="99"/>
      <c r="BS75" s="99"/>
    </row>
    <row r="76" spans="1:71" ht="15.6">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2"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6">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2"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6">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8">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4">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50000000000003" customHeight="1" thickBot="1">
      <c r="A94" s="1873" t="s">
        <v>602</v>
      </c>
      <c r="B94" s="1874"/>
      <c r="C94" s="1874"/>
      <c r="D94" s="1875"/>
      <c r="E94" s="1870" t="s">
        <v>600</v>
      </c>
      <c r="F94" s="1871"/>
      <c r="G94" s="1872"/>
      <c r="H94" s="1876" t="s">
        <v>601</v>
      </c>
      <c r="I94" s="1877"/>
      <c r="J94" s="1877"/>
      <c r="K94" s="1878"/>
      <c r="L94" s="1879" t="s">
        <v>598</v>
      </c>
      <c r="M94" s="1880"/>
      <c r="N94" s="1880"/>
      <c r="O94" s="1880"/>
      <c r="P94" s="1881"/>
      <c r="Q94" s="1894" t="s">
        <v>782</v>
      </c>
      <c r="R94" s="1880"/>
      <c r="S94" s="1880"/>
      <c r="T94" s="1880"/>
      <c r="U94" s="1881"/>
      <c r="V94" s="1799" t="s">
        <v>763</v>
      </c>
      <c r="W94" s="1781" t="s">
        <v>608</v>
      </c>
      <c r="X94" s="1882"/>
      <c r="Y94" s="1883" t="s">
        <v>594</v>
      </c>
      <c r="Z94" s="1842" t="s">
        <v>770</v>
      </c>
      <c r="AA94" s="1842"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635</v>
      </c>
      <c r="BW94" s="1794"/>
      <c r="BX94" s="1909"/>
      <c r="BY94" s="1793" t="s">
        <v>638</v>
      </c>
      <c r="BZ94" s="1794"/>
      <c r="CA94" s="1795"/>
      <c r="CB94" s="1908" t="s">
        <v>636</v>
      </c>
      <c r="CC94" s="1907"/>
      <c r="CD94" s="1906" t="s">
        <v>639</v>
      </c>
      <c r="CE94" s="1907"/>
      <c r="CG94" s="1898" t="s">
        <v>742</v>
      </c>
      <c r="CH94" s="1899"/>
      <c r="CI94" s="1899"/>
      <c r="CJ94" s="1899"/>
      <c r="CK94" s="1899"/>
      <c r="CL94" s="1899"/>
      <c r="CM94" s="1900"/>
    </row>
    <row r="95" spans="1:91" s="10" customFormat="1" ht="42.6" customHeight="1" thickBot="1">
      <c r="A95" s="1868"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3"/>
      <c r="W95" s="1597" t="s">
        <v>605</v>
      </c>
      <c r="X95" s="1643" t="s">
        <v>576</v>
      </c>
      <c r="Y95" s="1884"/>
      <c r="Z95" s="1843"/>
      <c r="AA95" s="1843"/>
      <c r="AB95" s="1841"/>
      <c r="AC95" s="1839"/>
      <c r="AD95" s="1841"/>
      <c r="AE95" s="1841"/>
      <c r="AF95" s="1857"/>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1" t="s">
        <v>743</v>
      </c>
    </row>
    <row r="96" spans="1:91" ht="16.2" thickBot="1">
      <c r="A96" s="1869"/>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2"/>
      <c r="AC96" s="1839"/>
      <c r="AD96" s="1892"/>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2"/>
    </row>
    <row r="97" spans="1:91">
      <c r="A97" s="127">
        <f>'Input data'!A117</f>
        <v>2017</v>
      </c>
      <c r="B97" s="662">
        <f>'Input data'!B117</f>
        <v>56.521999999999998</v>
      </c>
      <c r="C97" s="236">
        <f>'Input data'!C117</f>
        <v>3120.54</v>
      </c>
      <c r="D97" s="237">
        <f>'Input data'!D117</f>
        <v>49995051</v>
      </c>
      <c r="E97" s="649">
        <f>'Input data'!F117</f>
        <v>0.71479999999999999</v>
      </c>
      <c r="F97" s="649">
        <f>'Input data'!G117</f>
        <v>0.28959999999999997</v>
      </c>
      <c r="G97" s="764">
        <f>'Input data'!H117</f>
        <v>501</v>
      </c>
      <c r="H97" s="956">
        <f>'Input data'!I117</f>
        <v>424.26313389388866</v>
      </c>
      <c r="I97" s="957">
        <f>'Input data'!K117</f>
        <v>23980.200853950373</v>
      </c>
      <c r="J97" s="957">
        <f>I97*B10</f>
        <v>11144.041726220405</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11144.041726220405</v>
      </c>
      <c r="AA97" s="530">
        <f>Z97-J97</f>
        <v>0</v>
      </c>
      <c r="AB97" s="1091">
        <f>AA97/Z97</f>
        <v>0</v>
      </c>
      <c r="AC97" s="1491" t="str">
        <f>IF(AND(AB97&gt;=0,AB97&lt;=1),"Yes","No")</f>
        <v>Yes</v>
      </c>
      <c r="AD97" s="1119">
        <f>IF(AB97&lt;=0,0,IF(AB97&gt;=1,1,AB97))</f>
        <v>0</v>
      </c>
      <c r="AE97" s="649">
        <f t="shared" ref="AE97:AE130" si="11">1-AK97/I97</f>
        <v>0</v>
      </c>
      <c r="AF97" s="530">
        <f>AK97/B97</f>
        <v>424.26313389388878</v>
      </c>
      <c r="AG97" s="527">
        <f>J97</f>
        <v>11144.041726220405</v>
      </c>
      <c r="AH97" s="528">
        <f>V97+I97*$C$10*$G$10</f>
        <v>6573.322273428581</v>
      </c>
      <c r="AI97" s="528">
        <f>($C$10*$H$10*$I$97+X97)</f>
        <v>3350.003081988611</v>
      </c>
      <c r="AJ97" s="528">
        <f t="shared" ref="AJ97:AJ130" si="12">I97*$D$10*(1-AD97)</f>
        <v>2912.8337723127793</v>
      </c>
      <c r="AK97" s="528">
        <f>SUM(AG97:AJ97)</f>
        <v>23980.20085395038</v>
      </c>
      <c r="AL97" s="716">
        <f t="shared" ref="AL97:AL130" si="13">AG97-(I97*$B$10-Y97)*(1-AD97)</f>
        <v>0</v>
      </c>
      <c r="AM97" s="708">
        <f>AG97/AK97</f>
        <v>0.46471844811027052</v>
      </c>
      <c r="AN97" s="647">
        <f>AH97/AK97</f>
        <v>0.274114562820508</v>
      </c>
      <c r="AO97" s="647">
        <f>AI97/AK97</f>
        <v>0.13969870821314442</v>
      </c>
      <c r="AP97" s="647">
        <f>AJ97/AK97</f>
        <v>0.12146828085607687</v>
      </c>
      <c r="AQ97" s="715">
        <f>SUM(AM97:AP97)</f>
        <v>0.99999999999999989</v>
      </c>
      <c r="AR97" s="1086">
        <f t="shared" ref="AR97:AR130" si="14">(I97*$C$76*$B$10-$C$66/($D$66+$C$66)*X97)*(1-AD97)</f>
        <v>2674.7146867156812</v>
      </c>
      <c r="AS97" s="938">
        <f t="shared" ref="AS97:AS130" si="15">(I97*$D$76*$B$10-$D$66/($D$66+$C$66)*X97)*(1-AD97)</f>
        <v>3392.2618310106586</v>
      </c>
      <c r="AT97" s="938">
        <f t="shared" ref="AT97:AT130" si="16">(I97*$B$10*$E$76-(Q97))*(1-AD97)</f>
        <v>657.47885516966164</v>
      </c>
      <c r="AU97" s="938">
        <f t="shared" ref="AU97:AU130" si="17">I97*$F$76*(1-AD97)*$B$10</f>
        <v>0</v>
      </c>
      <c r="AV97" s="938">
        <f t="shared" ref="AV97:AV130" si="18">I97*$G$76*(1-AD97)*$B$10</f>
        <v>0</v>
      </c>
      <c r="AW97" s="938">
        <f t="shared" ref="AW97:AW130" si="19">I97*$G$76*(1-AD97)*$B$10</f>
        <v>0</v>
      </c>
      <c r="AX97" s="938">
        <f t="shared" ref="AX97:AX130" si="20">I97*$I$76*(1-AD97)*$AM$97</f>
        <v>2798.4521345640801</v>
      </c>
      <c r="AY97" s="938">
        <f t="shared" ref="AY97:AY130" si="21">(I97*$J$76*$B$10-R97)*(1-AD97)</f>
        <v>404.59237402326602</v>
      </c>
      <c r="AZ97" s="938">
        <f t="shared" ref="AZ97:AZ130" si="22">(I97*$K$76*$B$10-S97)*(1-AD97)</f>
        <v>588.07292715063488</v>
      </c>
      <c r="BA97" s="938">
        <f t="shared" ref="BA97:BA130" si="23">(I97*$L$76*$B$10-T97)*(1-AD97)</f>
        <v>516.96278580125113</v>
      </c>
      <c r="BB97" s="938">
        <f t="shared" ref="BB97:BB130" si="24">(I97*$M$76*$B$10-U97)*(1-AD97)</f>
        <v>111.50613178516774</v>
      </c>
      <c r="BC97" s="530">
        <f>SUM(AR97:BB97)</f>
        <v>11144.041726220403</v>
      </c>
      <c r="BD97" s="724">
        <f>BC97-AG97</f>
        <v>0</v>
      </c>
      <c r="BE97" s="436">
        <f>AR97/BC97</f>
        <v>0.24001298204245269</v>
      </c>
      <c r="BF97" s="624">
        <f>AS97/BC97</f>
        <v>0.30440139352934503</v>
      </c>
      <c r="BG97" s="624">
        <f>AT97/BC97</f>
        <v>5.8998240613430585E-2</v>
      </c>
      <c r="BH97" s="624">
        <f>AU97/BC97</f>
        <v>0</v>
      </c>
      <c r="BI97" s="624">
        <f>AV97/BC97</f>
        <v>0</v>
      </c>
      <c r="BJ97" s="624">
        <f>AW97/BC97</f>
        <v>0</v>
      </c>
      <c r="BK97" s="624">
        <f>SUM(AX97:BB97)/BC97</f>
        <v>0.39658738381477154</v>
      </c>
      <c r="BL97" s="624">
        <f>SUM(BE97:BK97)</f>
        <v>0.99999999999999989</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111.48217523856577</v>
      </c>
      <c r="BW97" s="647">
        <f>((AK97-AM97*AK97)+(AC137-AC137*AE137))/(AK97+AC137)</f>
        <v>0.28613027236389205</v>
      </c>
      <c r="BX97" s="1694">
        <f t="shared" ref="BX97:BX130" si="25">D137/10^6</f>
        <v>49.995050999999997</v>
      </c>
      <c r="BY97" s="956">
        <f>(AK97+AC177)*1000/10^6</f>
        <v>111.48217523856577</v>
      </c>
      <c r="BZ97" s="647">
        <f>((AK97-AM97*AK97)+(AC177-AC177*AE177))/(AK97+AC177)</f>
        <v>0.28613027236389205</v>
      </c>
      <c r="CA97" s="677">
        <f t="shared" ref="CA97:CA130" si="26">D177/10^6</f>
        <v>49.995050999999997</v>
      </c>
      <c r="CB97" s="708">
        <f t="shared" ref="CB97:CB130" si="27">AE97</f>
        <v>0</v>
      </c>
      <c r="CC97" s="715">
        <f>W177</f>
        <v>0</v>
      </c>
      <c r="CD97" s="647">
        <f t="shared" ref="CD97:CD130" si="28">AE97</f>
        <v>0</v>
      </c>
      <c r="CE97" s="715">
        <f>W177</f>
        <v>0</v>
      </c>
      <c r="CG97" s="956">
        <f>$I97*$E$75*$L97</f>
        <v>1241.0306217429022</v>
      </c>
      <c r="CH97" s="957">
        <f>$I97*$J$75*M97</f>
        <v>480.37443994244501</v>
      </c>
      <c r="CI97" s="957">
        <f>$I97*$K$75*N97</f>
        <v>1987.1959642118491</v>
      </c>
      <c r="CJ97" s="957">
        <f>$I97*$L$75*O97</f>
        <v>2826.4498003218146</v>
      </c>
      <c r="CK97" s="957">
        <f>$I97*$M$75*P97</f>
        <v>38.271447209568926</v>
      </c>
      <c r="CL97" s="957">
        <f>SUM(CG97:CK97)</f>
        <v>6573.3222734285791</v>
      </c>
      <c r="CM97" s="1130">
        <f>AH97-CL97</f>
        <v>0</v>
      </c>
    </row>
    <row r="98" spans="1:91">
      <c r="A98" s="127">
        <f>'Input data'!A118</f>
        <v>2018</v>
      </c>
      <c r="B98" s="662">
        <f>'Input data'!B118</f>
        <v>57.436</v>
      </c>
      <c r="C98" s="236">
        <f>'Input data'!C118</f>
        <v>3152.24</v>
      </c>
      <c r="D98" s="1554">
        <f>'Input data'!D118</f>
        <v>50172070.130067617</v>
      </c>
      <c r="E98" s="1456">
        <f t="shared" ref="E98:E129" si="29">($E$130-$E$97)/($A$130-$A$97)+E97</f>
        <v>0.72344242424242422</v>
      </c>
      <c r="F98" s="1506">
        <f t="shared" ref="F98:F129" si="30">($F$130-$F$97)/($A$130-$A$97)+F97</f>
        <v>0.29195303030303027</v>
      </c>
      <c r="G98" s="1511">
        <f>B98*F98*'Input data'!$C$9</f>
        <v>513.23802109781525</v>
      </c>
      <c r="H98" s="1510">
        <f>'Input data'!I118</f>
        <v>424.26313389388866</v>
      </c>
      <c r="I98" s="1511">
        <f>'Input data'!K118</f>
        <v>24367.97735832939</v>
      </c>
      <c r="J98" s="1511">
        <f>$J$97*(1+(($J$110/$J$97)^(1/($A$110-$A$97))-1))^(A98-$A$97)</f>
        <v>10565.415379487051</v>
      </c>
      <c r="K98" s="1513">
        <f>I98*$B$10-J98</f>
        <v>758.83324206199541</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303.348825886317</v>
      </c>
      <c r="Y98" s="528">
        <f>X98+V98</f>
        <v>303.348825886317</v>
      </c>
      <c r="Z98" s="528">
        <f>I98*$B$10-Y98</f>
        <v>11020.89979566273</v>
      </c>
      <c r="AA98" s="530">
        <f>Z98-J98</f>
        <v>455.48441617567914</v>
      </c>
      <c r="AB98" s="1091">
        <f t="shared" ref="AB98:AB130" si="42">AA98/Z98</f>
        <v>4.1329149581319558E-2</v>
      </c>
      <c r="AC98" s="135" t="str">
        <f t="shared" ref="AC98:AC130" si="43">IF(AND(AB98&gt;=0,AB98&lt;=1),"Yes","No")</f>
        <v>Yes</v>
      </c>
      <c r="AD98" s="1091">
        <f t="shared" ref="AD98:AD130" si="44">IF(AB98&lt;=0,0,IF(AB98&gt;=1,1,AB98))</f>
        <v>4.1329149581319558E-2</v>
      </c>
      <c r="AE98" s="649">
        <f t="shared" si="11"/>
        <v>2.3712106199973881E-2</v>
      </c>
      <c r="AF98" s="530">
        <f t="shared" ref="AF98:AF130" si="45">AK98/B98</f>
        <v>414.20296140626306</v>
      </c>
      <c r="AG98" s="527">
        <f t="shared" ref="AG98:AG130" si="46">J98</f>
        <v>10565.415379487051</v>
      </c>
      <c r="AH98" s="528">
        <f>IF(V98+I98*$C$10*$G$10&lt;AH97,AH97,V98+I98*$C$10*$G$10)</f>
        <v>6679.6174603984991</v>
      </c>
      <c r="AI98" s="528">
        <f>IF(($C$10*$H$10*$I$98+X98)&lt;AI97,AI97,($C$10*$H$10*$I$98+X98))</f>
        <v>3707.5237846120858</v>
      </c>
      <c r="AJ98" s="528">
        <f t="shared" si="12"/>
        <v>2837.6046668324898</v>
      </c>
      <c r="AK98" s="528">
        <f t="shared" ref="AK98:AK130" si="47">SUM(AG98:AJ98)</f>
        <v>23790.161291330125</v>
      </c>
      <c r="AL98" s="716">
        <f t="shared" si="13"/>
        <v>0</v>
      </c>
      <c r="AM98" s="649">
        <f t="shared" ref="AM98:AM130" si="48">AG98/AK98</f>
        <v>0.44410860649933537</v>
      </c>
      <c r="AN98" s="417">
        <f t="shared" ref="AN98:AN130" si="49">AH98/AK98</f>
        <v>0.28077226457614474</v>
      </c>
      <c r="AO98" s="417">
        <f t="shared" ref="AO98:AO130" si="50">AI98/AK98</f>
        <v>0.15584273428037762</v>
      </c>
      <c r="AP98" s="417">
        <f t="shared" ref="AP98:AP130" si="51">AJ98/AK98</f>
        <v>0.11927639464414229</v>
      </c>
      <c r="AQ98" s="525">
        <f t="shared" ref="AQ98:AQ130" si="52">SUM(AM98:AP98)</f>
        <v>1</v>
      </c>
      <c r="AR98" s="1086">
        <f t="shared" si="14"/>
        <v>2477.4268793629876</v>
      </c>
      <c r="AS98" s="938">
        <f t="shared" si="15"/>
        <v>3142.0475177120284</v>
      </c>
      <c r="AT98" s="938">
        <f t="shared" si="16"/>
        <v>640.49829602592911</v>
      </c>
      <c r="AU98" s="938">
        <f t="shared" si="17"/>
        <v>0</v>
      </c>
      <c r="AV98" s="938">
        <f t="shared" si="18"/>
        <v>0</v>
      </c>
      <c r="AW98" s="938">
        <f t="shared" si="19"/>
        <v>0</v>
      </c>
      <c r="AX98" s="938">
        <f t="shared" si="20"/>
        <v>2726.1771380250539</v>
      </c>
      <c r="AY98" s="938">
        <f t="shared" si="21"/>
        <v>394.14305739173358</v>
      </c>
      <c r="AZ98" s="938">
        <f t="shared" si="22"/>
        <v>572.88489936572239</v>
      </c>
      <c r="BA98" s="938">
        <f t="shared" si="23"/>
        <v>503.61130371116678</v>
      </c>
      <c r="BB98" s="938">
        <f t="shared" si="24"/>
        <v>108.62628789242646</v>
      </c>
      <c r="BC98" s="530">
        <f t="shared" ref="BC98:BC130" si="53">SUM(AR98:BB98)</f>
        <v>10565.415379487049</v>
      </c>
      <c r="BD98" s="724">
        <f t="shared" ref="BD98:BD130" si="54">BC98-AG98</f>
        <v>0</v>
      </c>
      <c r="BE98" s="436">
        <f t="shared" ref="BE98:BE130" si="55">AR98/BC98</f>
        <v>0.23448456973806805</v>
      </c>
      <c r="BF98" s="624">
        <f t="shared" ref="BF98:BF129" si="56">AS98/BC98</f>
        <v>0.29738987108943887</v>
      </c>
      <c r="BG98" s="624">
        <f t="shared" ref="BG98:BG130" si="57">AT98/BC98</f>
        <v>6.0622159472259698E-2</v>
      </c>
      <c r="BH98" s="624">
        <f t="shared" ref="BH98:BH130" si="58">AU98/BC98</f>
        <v>0</v>
      </c>
      <c r="BI98" s="624">
        <f t="shared" ref="BI98:BI130" si="59">AV98/BC98</f>
        <v>0</v>
      </c>
      <c r="BJ98" s="624">
        <f t="shared" ref="BJ98:BJ130" si="60">AW98/BC98</f>
        <v>0</v>
      </c>
      <c r="BK98" s="624">
        <f t="shared" ref="BK98:BK130" si="61">SUM(AX98:BB98)/BC98</f>
        <v>0.40750339970023325</v>
      </c>
      <c r="BL98" s="624">
        <f t="shared" ref="BL98:BL130" si="62">SUM(BE98:BK98)</f>
        <v>0.99999999999999978</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108.28006728803635</v>
      </c>
      <c r="BW98" s="114">
        <f t="shared" ref="BW98:BW130" si="65">((AK98-AM98*AK98)+(AC138-AC138*AE138))/(AK98+AC138)</f>
        <v>0.30318140871594546</v>
      </c>
      <c r="BX98" s="1695">
        <f t="shared" si="25"/>
        <v>50.172070130067617</v>
      </c>
      <c r="BY98" s="527">
        <f t="shared" ref="BY98:BY130" si="66">(AK98+AC178)*1000/10^6</f>
        <v>108.28006728803635</v>
      </c>
      <c r="BZ98" s="417">
        <f t="shared" ref="BZ98:BZ130" si="67">((AK98-AM98*AK98)+(AC178-AC178*AE178))/(AK98+AC178)</f>
        <v>0.30318140871594546</v>
      </c>
      <c r="CA98" s="544">
        <f t="shared" si="26"/>
        <v>50.172070130067617</v>
      </c>
      <c r="CB98" s="649">
        <f t="shared" si="27"/>
        <v>2.3712106199973881E-2</v>
      </c>
      <c r="CC98" s="525">
        <f t="shared" ref="CC98:CC130" si="68">W178</f>
        <v>4.0541690060924451E-2</v>
      </c>
      <c r="CD98" s="417">
        <f t="shared" si="28"/>
        <v>2.3712106199973881E-2</v>
      </c>
      <c r="CE98" s="525">
        <f t="shared" ref="CE98:CE130" si="69">W178</f>
        <v>4.0541690060924451E-2</v>
      </c>
      <c r="CG98" s="527">
        <f t="shared" ref="CG98:CG130" si="70">$I98*$E$75*$L98</f>
        <v>1261.0989489123765</v>
      </c>
      <c r="CH98" s="528">
        <f t="shared" ref="CH98:CH130" si="71">$I98*$J$75*M98</f>
        <v>488.14242830286037</v>
      </c>
      <c r="CI98" s="528">
        <f t="shared" ref="CI98:CI130" si="72">$I98*$K$75*N98</f>
        <v>2019.3303032531014</v>
      </c>
      <c r="CJ98" s="528">
        <f t="shared" ref="CJ98:CJ130" si="73">$I98*$L$75*O98</f>
        <v>2872.1554568359888</v>
      </c>
      <c r="CK98" s="528">
        <f t="shared" ref="CK98:CK130" si="74">$I98*$M$75*P98</f>
        <v>38.890323094172203</v>
      </c>
      <c r="CL98" s="528">
        <f t="shared" ref="CL98:CL130" si="75">SUM(CG98:CK98)</f>
        <v>6679.6174603984991</v>
      </c>
      <c r="CM98" s="646">
        <f t="shared" ref="CM98:CM130" si="76">AH98-CL98</f>
        <v>0</v>
      </c>
    </row>
    <row r="99" spans="1:91">
      <c r="A99" s="873">
        <f>'Input data'!A119</f>
        <v>2019</v>
      </c>
      <c r="B99" s="1553">
        <f>'Input data'!B119</f>
        <v>58.365000000000002</v>
      </c>
      <c r="C99" s="1552">
        <f>'Input data'!C119</f>
        <v>3179.2899999999995</v>
      </c>
      <c r="D99" s="1554">
        <f>'Input data'!D119</f>
        <v>49847473.41597119</v>
      </c>
      <c r="E99" s="1456">
        <f t="shared" si="29"/>
        <v>0.73208484848484845</v>
      </c>
      <c r="F99" s="1506">
        <f t="shared" si="30"/>
        <v>0.29430606060606057</v>
      </c>
      <c r="G99" s="1511">
        <f>B99*F99*'Input data'!$C$9</f>
        <v>525.7428112174747</v>
      </c>
      <c r="H99" s="1510">
        <f>'Input data'!I119</f>
        <v>424.26313389388866</v>
      </c>
      <c r="I99" s="1511">
        <f>'Input data'!K119</f>
        <v>24762.117809716812</v>
      </c>
      <c r="J99" s="1511">
        <f t="shared" ref="J99:J109" si="77">$J$97*(1+(($J$110/$J$97)^(1/($A$110-$A$97))-1))^(A99-$A$97)</f>
        <v>10016.832750944935</v>
      </c>
      <c r="K99" s="1513">
        <f t="shared" ref="K99:K130" si="78">I99*$B$10-J99</f>
        <v>1490.5802095103554</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606.697651772634</v>
      </c>
      <c r="Y99" s="528">
        <f t="shared" ref="Y99:Y130" si="79">X99+V99</f>
        <v>606.697651772634</v>
      </c>
      <c r="Z99" s="528">
        <f t="shared" ref="Z99:Z130" si="80">I99*$B$10-Y99</f>
        <v>10900.715308682657</v>
      </c>
      <c r="AA99" s="530">
        <f t="shared" ref="AA99:AA130" si="81">Z99-J99</f>
        <v>883.88255773772107</v>
      </c>
      <c r="AB99" s="1091">
        <f t="shared" si="42"/>
        <v>8.1084821748687391E-2</v>
      </c>
      <c r="AC99" s="135" t="str">
        <f t="shared" si="43"/>
        <v>Yes</v>
      </c>
      <c r="AD99" s="1091">
        <f t="shared" si="44"/>
        <v>8.1084821748687391E-2</v>
      </c>
      <c r="AE99" s="649">
        <f t="shared" si="11"/>
        <v>4.7767778545469874E-2</v>
      </c>
      <c r="AF99" s="530">
        <f t="shared" si="45"/>
        <v>403.99702646903836</v>
      </c>
      <c r="AG99" s="527">
        <f t="shared" si="46"/>
        <v>10016.832750944935</v>
      </c>
      <c r="AH99" s="528">
        <f t="shared" ref="AH99:AH130" si="82">IF(V99+I99*$C$10*$G$10&lt;AH98,AH98,V99+I99*$C$10*$G$10)</f>
        <v>6787.6570979204407</v>
      </c>
      <c r="AI99" s="528">
        <f t="shared" ref="AI99:AI130" si="83">IF(($C$10*$H$10*$I$98+X99)&lt;AI98,AI98,($C$10*$H$10*$I$98+X99))</f>
        <v>4010.8726104984025</v>
      </c>
      <c r="AJ99" s="528">
        <f t="shared" si="12"/>
        <v>2763.9239905016448</v>
      </c>
      <c r="AK99" s="528">
        <f t="shared" si="47"/>
        <v>23579.286449865423</v>
      </c>
      <c r="AL99" s="716">
        <f t="shared" si="13"/>
        <v>0</v>
      </c>
      <c r="AM99" s="649">
        <f t="shared" si="48"/>
        <v>0.42481492271799026</v>
      </c>
      <c r="AN99" s="417">
        <f t="shared" si="49"/>
        <v>0.28786524614951531</v>
      </c>
      <c r="AO99" s="417">
        <f t="shared" si="50"/>
        <v>0.17010152614356547</v>
      </c>
      <c r="AP99" s="417">
        <f t="shared" si="51"/>
        <v>0.11721830498892895</v>
      </c>
      <c r="AQ99" s="525">
        <f t="shared" si="52"/>
        <v>0.99999999999999989</v>
      </c>
      <c r="AR99" s="1086">
        <f t="shared" si="14"/>
        <v>2292.1944277973698</v>
      </c>
      <c r="AS99" s="938">
        <f t="shared" si="15"/>
        <v>2907.1226569665455</v>
      </c>
      <c r="AT99" s="938">
        <f t="shared" si="16"/>
        <v>623.86724512882745</v>
      </c>
      <c r="AU99" s="938">
        <f t="shared" si="17"/>
        <v>0</v>
      </c>
      <c r="AV99" s="938">
        <f t="shared" si="18"/>
        <v>0</v>
      </c>
      <c r="AW99" s="938">
        <f t="shared" si="19"/>
        <v>0</v>
      </c>
      <c r="AX99" s="938">
        <f t="shared" si="20"/>
        <v>2655.3897666638445</v>
      </c>
      <c r="AY99" s="938">
        <f t="shared" si="21"/>
        <v>383.90881744309871</v>
      </c>
      <c r="AZ99" s="938">
        <f t="shared" si="22"/>
        <v>558.00948442918286</v>
      </c>
      <c r="BA99" s="938">
        <f t="shared" si="23"/>
        <v>490.53463313086439</v>
      </c>
      <c r="BB99" s="938">
        <f t="shared" si="24"/>
        <v>105.80571938520123</v>
      </c>
      <c r="BC99" s="530">
        <f t="shared" si="53"/>
        <v>10016.832750944935</v>
      </c>
      <c r="BD99" s="724">
        <f t="shared" si="54"/>
        <v>0</v>
      </c>
      <c r="BE99" s="436">
        <f t="shared" si="55"/>
        <v>0.2288342517829437</v>
      </c>
      <c r="BF99" s="624">
        <f t="shared" si="56"/>
        <v>0.29022373930445255</v>
      </c>
      <c r="BG99" s="624">
        <f t="shared" si="57"/>
        <v>6.2281886963718655E-2</v>
      </c>
      <c r="BH99" s="624">
        <f t="shared" si="58"/>
        <v>0</v>
      </c>
      <c r="BI99" s="624">
        <f t="shared" si="59"/>
        <v>0</v>
      </c>
      <c r="BJ99" s="624">
        <f t="shared" si="60"/>
        <v>0</v>
      </c>
      <c r="BK99" s="624">
        <f t="shared" si="61"/>
        <v>0.41866012194888491</v>
      </c>
      <c r="BL99" s="624">
        <f t="shared" si="62"/>
        <v>0.99999999999999978</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105.21077375423089</v>
      </c>
      <c r="BW99" s="114">
        <f t="shared" si="65"/>
        <v>0.32008929644867795</v>
      </c>
      <c r="BX99" s="1695">
        <f t="shared" si="25"/>
        <v>49.847473415971187</v>
      </c>
      <c r="BY99" s="527">
        <f t="shared" si="66"/>
        <v>105.21077375423089</v>
      </c>
      <c r="BZ99" s="417">
        <f t="shared" si="67"/>
        <v>0.32008929644867795</v>
      </c>
      <c r="CA99" s="544">
        <f t="shared" si="26"/>
        <v>49.847473415971187</v>
      </c>
      <c r="CB99" s="649">
        <f t="shared" si="27"/>
        <v>4.7767778545469874E-2</v>
      </c>
      <c r="CC99" s="525">
        <f t="shared" si="68"/>
        <v>7.3007136209731427E-2</v>
      </c>
      <c r="CD99" s="417">
        <f t="shared" si="28"/>
        <v>4.7767778545469874E-2</v>
      </c>
      <c r="CE99" s="525">
        <f t="shared" si="69"/>
        <v>7.3007136209731427E-2</v>
      </c>
      <c r="CG99" s="527">
        <f t="shared" si="70"/>
        <v>1281.4966249960103</v>
      </c>
      <c r="CH99" s="528">
        <f t="shared" si="71"/>
        <v>496.03790006087553</v>
      </c>
      <c r="CI99" s="528">
        <f t="shared" si="72"/>
        <v>2051.9920110969992</v>
      </c>
      <c r="CJ99" s="528">
        <f t="shared" si="73"/>
        <v>2918.6112061813583</v>
      </c>
      <c r="CK99" s="528">
        <f t="shared" si="74"/>
        <v>39.519355585196749</v>
      </c>
      <c r="CL99" s="528">
        <f t="shared" si="75"/>
        <v>6787.6570979204398</v>
      </c>
      <c r="CM99" s="646">
        <f t="shared" si="76"/>
        <v>0</v>
      </c>
    </row>
    <row r="100" spans="1:91">
      <c r="A100" s="873">
        <f>'Input data'!A120</f>
        <v>2020</v>
      </c>
      <c r="B100" s="1553">
        <f>'Input data'!B120</f>
        <v>59.308999999999997</v>
      </c>
      <c r="C100" s="1552">
        <f>'Input data'!C120</f>
        <v>2948.9199999999987</v>
      </c>
      <c r="D100" s="1554">
        <f>'Input data'!D120</f>
        <v>47586944.933914557</v>
      </c>
      <c r="E100" s="1456">
        <f t="shared" si="29"/>
        <v>0.74072727272727268</v>
      </c>
      <c r="F100" s="1506">
        <f t="shared" si="30"/>
        <v>0.29665909090909087</v>
      </c>
      <c r="G100" s="1511">
        <f>B100*F100*'Input data'!$C$9</f>
        <v>538.51761122950779</v>
      </c>
      <c r="H100" s="1510">
        <f>'Input data'!I120</f>
        <v>424.26313389388866</v>
      </c>
      <c r="I100" s="1511">
        <f>'Input data'!K120</f>
        <v>25162.622208112643</v>
      </c>
      <c r="J100" s="1511">
        <f t="shared" si="77"/>
        <v>9496.7338960670804</v>
      </c>
      <c r="K100" s="1513">
        <f t="shared" si="78"/>
        <v>2196.8008468720582</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910.04647765895118</v>
      </c>
      <c r="Y100" s="528">
        <f t="shared" si="79"/>
        <v>910.04647765895118</v>
      </c>
      <c r="Z100" s="528">
        <f t="shared" si="80"/>
        <v>10783.488265280188</v>
      </c>
      <c r="AA100" s="530">
        <f t="shared" si="81"/>
        <v>1286.7543692131076</v>
      </c>
      <c r="AB100" s="1091">
        <f t="shared" si="42"/>
        <v>0.11932635688547057</v>
      </c>
      <c r="AC100" s="135" t="str">
        <f t="shared" si="43"/>
        <v>Yes</v>
      </c>
      <c r="AD100" s="1091">
        <f t="shared" si="44"/>
        <v>0.11932635688547057</v>
      </c>
      <c r="AE100" s="649">
        <f t="shared" si="11"/>
        <v>7.0043634779731967E-2</v>
      </c>
      <c r="AF100" s="530">
        <f t="shared" si="45"/>
        <v>394.54620189292064</v>
      </c>
      <c r="AG100" s="527">
        <f t="shared" si="46"/>
        <v>9496.7338960670804</v>
      </c>
      <c r="AH100" s="528">
        <f t="shared" si="82"/>
        <v>6897.4411859944039</v>
      </c>
      <c r="AI100" s="528">
        <f t="shared" si="83"/>
        <v>4314.2214363847197</v>
      </c>
      <c r="AJ100" s="528">
        <f t="shared" si="12"/>
        <v>2691.7441696210262</v>
      </c>
      <c r="AK100" s="528">
        <f t="shared" si="47"/>
        <v>23400.140688067229</v>
      </c>
      <c r="AL100" s="716">
        <f t="shared" si="13"/>
        <v>0</v>
      </c>
      <c r="AM100" s="649">
        <f t="shared" si="48"/>
        <v>0.40584088885029168</v>
      </c>
      <c r="AN100" s="417">
        <f t="shared" si="49"/>
        <v>0.29476067165321429</v>
      </c>
      <c r="AO100" s="417">
        <f t="shared" si="50"/>
        <v>0.18436732897869854</v>
      </c>
      <c r="AP100" s="417">
        <f t="shared" si="51"/>
        <v>0.11503111051779556</v>
      </c>
      <c r="AQ100" s="525">
        <f t="shared" si="52"/>
        <v>1</v>
      </c>
      <c r="AR100" s="1086">
        <f t="shared" si="14"/>
        <v>2118.3661647036156</v>
      </c>
      <c r="AS100" s="938">
        <f t="shared" si="15"/>
        <v>2686.6613924539242</v>
      </c>
      <c r="AT100" s="938">
        <f t="shared" si="16"/>
        <v>607.57496424070121</v>
      </c>
      <c r="AU100" s="938">
        <f t="shared" si="17"/>
        <v>0</v>
      </c>
      <c r="AV100" s="938">
        <f t="shared" si="18"/>
        <v>0</v>
      </c>
      <c r="AW100" s="938">
        <f t="shared" si="19"/>
        <v>0</v>
      </c>
      <c r="AX100" s="938">
        <f t="shared" si="20"/>
        <v>2586.044314913112</v>
      </c>
      <c r="AY100" s="938">
        <f t="shared" si="21"/>
        <v>373.88304619440981</v>
      </c>
      <c r="AZ100" s="938">
        <f t="shared" si="22"/>
        <v>543.43707767190631</v>
      </c>
      <c r="BA100" s="938">
        <f t="shared" si="23"/>
        <v>477.72433079375151</v>
      </c>
      <c r="BB100" s="938">
        <f t="shared" si="24"/>
        <v>103.04260509565714</v>
      </c>
      <c r="BC100" s="530">
        <f t="shared" si="53"/>
        <v>9496.7338960670768</v>
      </c>
      <c r="BD100" s="724">
        <f t="shared" si="54"/>
        <v>0</v>
      </c>
      <c r="BE100" s="436">
        <f t="shared" si="55"/>
        <v>0.22306260108866519</v>
      </c>
      <c r="BF100" s="624">
        <f t="shared" si="56"/>
        <v>0.28290372478127063</v>
      </c>
      <c r="BG100" s="624">
        <f t="shared" si="57"/>
        <v>6.3977254800444486E-2</v>
      </c>
      <c r="BH100" s="624">
        <f t="shared" si="58"/>
        <v>0</v>
      </c>
      <c r="BI100" s="624">
        <f t="shared" si="59"/>
        <v>0</v>
      </c>
      <c r="BJ100" s="624">
        <f t="shared" si="60"/>
        <v>0</v>
      </c>
      <c r="BK100" s="624">
        <f t="shared" si="61"/>
        <v>0.4300564193296198</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100.89899296551214</v>
      </c>
      <c r="BW100" s="114">
        <f t="shared" si="65"/>
        <v>0.32784550475766222</v>
      </c>
      <c r="BX100" s="1695">
        <f t="shared" si="25"/>
        <v>47.586944933914559</v>
      </c>
      <c r="BY100" s="527">
        <f t="shared" si="66"/>
        <v>100.89899296551214</v>
      </c>
      <c r="BZ100" s="417">
        <f t="shared" si="67"/>
        <v>0.32784550475766222</v>
      </c>
      <c r="CA100" s="544">
        <f t="shared" si="26"/>
        <v>47.586944933914559</v>
      </c>
      <c r="CB100" s="649">
        <f t="shared" si="27"/>
        <v>7.0043634779731967E-2</v>
      </c>
      <c r="CC100" s="525">
        <f t="shared" si="68"/>
        <v>6.6628667671368103E-2</v>
      </c>
      <c r="CD100" s="417">
        <f t="shared" si="28"/>
        <v>7.0043634779731967E-2</v>
      </c>
      <c r="CE100" s="525">
        <f t="shared" si="69"/>
        <v>6.6628667671368103E-2</v>
      </c>
      <c r="CG100" s="527">
        <f t="shared" si="70"/>
        <v>1302.223649993804</v>
      </c>
      <c r="CH100" s="528">
        <f t="shared" si="71"/>
        <v>504.06085521649049</v>
      </c>
      <c r="CI100" s="528">
        <f t="shared" si="72"/>
        <v>2085.1810877435437</v>
      </c>
      <c r="CJ100" s="528">
        <f t="shared" si="73"/>
        <v>2965.8170483579233</v>
      </c>
      <c r="CK100" s="528">
        <f t="shared" si="74"/>
        <v>40.158544682642571</v>
      </c>
      <c r="CL100" s="528">
        <f t="shared" si="75"/>
        <v>6897.4411859944048</v>
      </c>
      <c r="CM100" s="646">
        <f t="shared" si="76"/>
        <v>0</v>
      </c>
    </row>
    <row r="101" spans="1:91">
      <c r="A101" s="873">
        <f>'Input data'!A121</f>
        <v>2021</v>
      </c>
      <c r="B101" s="1553">
        <f>'Input data'!B121</f>
        <v>59.991999999999997</v>
      </c>
      <c r="C101" s="1552">
        <f>'Input data'!C121</f>
        <v>3014.38</v>
      </c>
      <c r="D101" s="1554">
        <f>'Input data'!D121</f>
        <v>47328556.831579238</v>
      </c>
      <c r="E101" s="1456">
        <f t="shared" si="29"/>
        <v>0.74936969696969691</v>
      </c>
      <c r="F101" s="1506">
        <f t="shared" si="30"/>
        <v>0.29901212121212117</v>
      </c>
      <c r="G101" s="1511">
        <f>B101*F101*'Input data'!$C$9</f>
        <v>549.03974240012258</v>
      </c>
      <c r="H101" s="1510">
        <f>'Input data'!I121</f>
        <v>424.26313389388866</v>
      </c>
      <c r="I101" s="1511">
        <f>'Input data'!K121</f>
        <v>25452.393928562167</v>
      </c>
      <c r="J101" s="1511">
        <f t="shared" si="77"/>
        <v>9003.6398665238321</v>
      </c>
      <c r="K101" s="1513">
        <f t="shared" si="78"/>
        <v>2824.5571406488525</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1213.395303545268</v>
      </c>
      <c r="Y101" s="528">
        <f t="shared" si="79"/>
        <v>1213.395303545268</v>
      </c>
      <c r="Z101" s="528">
        <f t="shared" si="80"/>
        <v>10614.801703627416</v>
      </c>
      <c r="AA101" s="530">
        <f t="shared" si="81"/>
        <v>1611.1618371035838</v>
      </c>
      <c r="AB101" s="1091">
        <f t="shared" si="42"/>
        <v>0.15178444987370782</v>
      </c>
      <c r="AC101" s="135" t="str">
        <f t="shared" si="43"/>
        <v>Yes</v>
      </c>
      <c r="AD101" s="1091">
        <f t="shared" si="44"/>
        <v>0.15178444987370782</v>
      </c>
      <c r="AE101" s="649">
        <f t="shared" si="11"/>
        <v>8.7689948819799635E-2</v>
      </c>
      <c r="AF101" s="530">
        <f t="shared" si="45"/>
        <v>387.05952139660576</v>
      </c>
      <c r="AG101" s="527">
        <f t="shared" si="46"/>
        <v>9003.6398665238321</v>
      </c>
      <c r="AH101" s="528">
        <f t="shared" si="82"/>
        <v>6976.8718344631716</v>
      </c>
      <c r="AI101" s="528">
        <f t="shared" si="83"/>
        <v>4617.5702622710369</v>
      </c>
      <c r="AJ101" s="528">
        <f t="shared" si="12"/>
        <v>2622.3928443671271</v>
      </c>
      <c r="AK101" s="528">
        <f t="shared" si="47"/>
        <v>23220.474807625171</v>
      </c>
      <c r="AL101" s="716">
        <f t="shared" si="13"/>
        <v>0</v>
      </c>
      <c r="AM101" s="649">
        <f t="shared" si="48"/>
        <v>0.3877457261798628</v>
      </c>
      <c r="AN101" s="417">
        <f t="shared" si="49"/>
        <v>0.30046206601133313</v>
      </c>
      <c r="AO101" s="417">
        <f t="shared" si="50"/>
        <v>0.19885770211532078</v>
      </c>
      <c r="AP101" s="417">
        <f t="shared" si="51"/>
        <v>0.11293450569348315</v>
      </c>
      <c r="AQ101" s="525">
        <f t="shared" si="52"/>
        <v>1</v>
      </c>
      <c r="AR101" s="1086">
        <f t="shared" si="14"/>
        <v>1954.2698806838309</v>
      </c>
      <c r="AS101" s="938">
        <f t="shared" si="15"/>
        <v>2478.5429102637627</v>
      </c>
      <c r="AT101" s="938">
        <f t="shared" si="16"/>
        <v>591.92112557477958</v>
      </c>
      <c r="AU101" s="938">
        <f t="shared" si="17"/>
        <v>0</v>
      </c>
      <c r="AV101" s="938">
        <f t="shared" si="18"/>
        <v>0</v>
      </c>
      <c r="AW101" s="938">
        <f t="shared" si="19"/>
        <v>0</v>
      </c>
      <c r="AX101" s="938">
        <f t="shared" si="20"/>
        <v>2519.4162889555842</v>
      </c>
      <c r="AY101" s="938">
        <f t="shared" si="21"/>
        <v>364.25015275818191</v>
      </c>
      <c r="AZ101" s="938">
        <f t="shared" si="22"/>
        <v>529.43571678702006</v>
      </c>
      <c r="BA101" s="938">
        <f t="shared" si="23"/>
        <v>465.41602310965112</v>
      </c>
      <c r="BB101" s="938">
        <f t="shared" si="24"/>
        <v>100.38776839102185</v>
      </c>
      <c r="BC101" s="530">
        <f t="shared" si="53"/>
        <v>9003.6398665238303</v>
      </c>
      <c r="BD101" s="724">
        <f t="shared" si="54"/>
        <v>0</v>
      </c>
      <c r="BE101" s="436">
        <f t="shared" si="55"/>
        <v>0.217053315065382</v>
      </c>
      <c r="BF101" s="624">
        <f t="shared" si="56"/>
        <v>0.27528232437185324</v>
      </c>
      <c r="BG101" s="624">
        <f t="shared" si="57"/>
        <v>6.5742425768891999E-2</v>
      </c>
      <c r="BH101" s="624">
        <f t="shared" si="58"/>
        <v>0</v>
      </c>
      <c r="BI101" s="624">
        <f t="shared" si="59"/>
        <v>0</v>
      </c>
      <c r="BJ101" s="624">
        <f t="shared" si="60"/>
        <v>0</v>
      </c>
      <c r="BK101" s="624">
        <f t="shared" si="61"/>
        <v>0.44192193479387298</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98.443496097910909</v>
      </c>
      <c r="BW101" s="114">
        <f t="shared" si="65"/>
        <v>0.34685026204632513</v>
      </c>
      <c r="BX101" s="1695">
        <f t="shared" si="25"/>
        <v>47.328556831579235</v>
      </c>
      <c r="BY101" s="527">
        <f t="shared" si="66"/>
        <v>98.443496097910909</v>
      </c>
      <c r="BZ101" s="417">
        <f t="shared" si="67"/>
        <v>0.34685026204632513</v>
      </c>
      <c r="CA101" s="544">
        <f t="shared" si="26"/>
        <v>47.328556831579235</v>
      </c>
      <c r="CB101" s="649">
        <f t="shared" si="27"/>
        <v>8.7689948819799635E-2</v>
      </c>
      <c r="CC101" s="525">
        <f t="shared" si="68"/>
        <v>9.9767019466319495E-2</v>
      </c>
      <c r="CD101" s="417">
        <f t="shared" si="28"/>
        <v>8.7689948819799635E-2</v>
      </c>
      <c r="CE101" s="525">
        <f t="shared" si="69"/>
        <v>9.9767019466319495E-2</v>
      </c>
      <c r="CG101" s="527">
        <f t="shared" si="70"/>
        <v>1317.2200038852163</v>
      </c>
      <c r="CH101" s="528">
        <f t="shared" si="71"/>
        <v>509.86559925386865</v>
      </c>
      <c r="CI101" s="528">
        <f t="shared" si="72"/>
        <v>2109.1939472240415</v>
      </c>
      <c r="CJ101" s="528">
        <f t="shared" si="73"/>
        <v>2999.9712752716873</v>
      </c>
      <c r="CK101" s="528">
        <f t="shared" si="74"/>
        <v>40.621008828358143</v>
      </c>
      <c r="CL101" s="528">
        <f t="shared" si="75"/>
        <v>6976.8718344631716</v>
      </c>
      <c r="CM101" s="646">
        <f t="shared" si="76"/>
        <v>0</v>
      </c>
    </row>
    <row r="102" spans="1:91" s="1" customFormat="1">
      <c r="A102" s="873">
        <f>'Input data'!A122</f>
        <v>2022</v>
      </c>
      <c r="B102" s="1553">
        <f>'Input data'!B122</f>
        <v>60.682000000000002</v>
      </c>
      <c r="C102" s="1552">
        <f>'Input data'!C122</f>
        <v>3077.2</v>
      </c>
      <c r="D102" s="1554">
        <f>'Input data'!D122</f>
        <v>45903210.392984279</v>
      </c>
      <c r="E102" s="1456">
        <f t="shared" si="29"/>
        <v>0.75801212121212114</v>
      </c>
      <c r="F102" s="1506">
        <f t="shared" si="30"/>
        <v>0.30136515151515147</v>
      </c>
      <c r="G102" s="1511">
        <f>B102*F102*'Input data'!$C$9</f>
        <v>559.72481930992205</v>
      </c>
      <c r="H102" s="1510">
        <f>'Input data'!I122</f>
        <v>424.26313389388866</v>
      </c>
      <c r="I102" s="1511">
        <f>'Input data'!K122</f>
        <v>25745.135490948953</v>
      </c>
      <c r="J102" s="1511">
        <f>$J$97*(1+(($J$110/$J$97)^(1/($A$110-$A$97))-1))^(A102-$A$97)</f>
        <v>8536.1485046589823</v>
      </c>
      <c r="K102" s="1513">
        <f t="shared" si="78"/>
        <v>3428.0909070834659</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1516.744129431585</v>
      </c>
      <c r="Y102" s="528">
        <f t="shared" si="79"/>
        <v>1516.744129431585</v>
      </c>
      <c r="Z102" s="528">
        <f t="shared" si="80"/>
        <v>10447.495282310863</v>
      </c>
      <c r="AA102" s="530">
        <f t="shared" si="81"/>
        <v>1911.346777651881</v>
      </c>
      <c r="AB102" s="1091">
        <f t="shared" si="42"/>
        <v>0.18294784788159421</v>
      </c>
      <c r="AC102" s="135" t="str">
        <f t="shared" si="43"/>
        <v>Yes</v>
      </c>
      <c r="AD102" s="1091">
        <f t="shared" si="44"/>
        <v>0.18294784788159421</v>
      </c>
      <c r="AE102" s="649">
        <f t="shared" si="11"/>
        <v>0.10393620474397769</v>
      </c>
      <c r="AF102" s="530">
        <f t="shared" si="45"/>
        <v>380.1668339441718</v>
      </c>
      <c r="AG102" s="527">
        <f t="shared" si="46"/>
        <v>8536.1485046589823</v>
      </c>
      <c r="AH102" s="528">
        <f t="shared" si="82"/>
        <v>7057.1165598562184</v>
      </c>
      <c r="AI102" s="528">
        <f t="shared" si="83"/>
        <v>4920.9190881573541</v>
      </c>
      <c r="AJ102" s="528">
        <f t="shared" si="12"/>
        <v>2555.0996647276816</v>
      </c>
      <c r="AK102" s="528">
        <f t="shared" si="47"/>
        <v>23069.283817400235</v>
      </c>
      <c r="AL102" s="716">
        <f t="shared" si="13"/>
        <v>0</v>
      </c>
      <c r="AM102" s="649">
        <f t="shared" si="48"/>
        <v>0.37002225869797084</v>
      </c>
      <c r="AN102" s="417">
        <f t="shared" si="49"/>
        <v>0.30590965093304362</v>
      </c>
      <c r="AO102" s="417">
        <f t="shared" si="50"/>
        <v>0.21331044028535043</v>
      </c>
      <c r="AP102" s="417">
        <f t="shared" si="51"/>
        <v>0.11075765008363513</v>
      </c>
      <c r="AQ102" s="525">
        <f t="shared" si="52"/>
        <v>1</v>
      </c>
      <c r="AR102" s="1086">
        <f t="shared" si="14"/>
        <v>1799.8793713427594</v>
      </c>
      <c r="AS102" s="938">
        <f t="shared" si="15"/>
        <v>2282.7339761336293</v>
      </c>
      <c r="AT102" s="938">
        <f t="shared" si="16"/>
        <v>576.73184730884554</v>
      </c>
      <c r="AU102" s="938">
        <f t="shared" si="17"/>
        <v>0</v>
      </c>
      <c r="AV102" s="938">
        <f t="shared" si="18"/>
        <v>0</v>
      </c>
      <c r="AW102" s="938">
        <f t="shared" si="19"/>
        <v>0</v>
      </c>
      <c r="AX102" s="938">
        <f t="shared" si="20"/>
        <v>2454.7655890105307</v>
      </c>
      <c r="AY102" s="938">
        <f t="shared" si="21"/>
        <v>354.90313558037718</v>
      </c>
      <c r="AZ102" s="938">
        <f t="shared" si="22"/>
        <v>515.84987556806811</v>
      </c>
      <c r="BA102" s="938">
        <f t="shared" si="23"/>
        <v>453.47299019699375</v>
      </c>
      <c r="BB102" s="938">
        <f t="shared" si="24"/>
        <v>97.811719517775927</v>
      </c>
      <c r="BC102" s="530">
        <f t="shared" si="53"/>
        <v>8536.1485046589805</v>
      </c>
      <c r="BD102" s="724">
        <f t="shared" si="54"/>
        <v>0</v>
      </c>
      <c r="BE102" s="436">
        <f t="shared" si="55"/>
        <v>0.21085380255045888</v>
      </c>
      <c r="BF102" s="624">
        <f t="shared" si="56"/>
        <v>0.26741966530780553</v>
      </c>
      <c r="BG102" s="624">
        <f t="shared" si="57"/>
        <v>6.7563473971202423E-2</v>
      </c>
      <c r="BH102" s="624">
        <f t="shared" si="58"/>
        <v>0</v>
      </c>
      <c r="BI102" s="624">
        <f t="shared" si="59"/>
        <v>0</v>
      </c>
      <c r="BJ102" s="624">
        <f t="shared" si="60"/>
        <v>0</v>
      </c>
      <c r="BK102" s="624">
        <f t="shared" si="61"/>
        <v>0.4541630581705331</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96.077452099642258</v>
      </c>
      <c r="BW102" s="114">
        <f t="shared" si="65"/>
        <v>0.3655138378497616</v>
      </c>
      <c r="BX102" s="1695">
        <f t="shared" si="25"/>
        <v>45.903210392984278</v>
      </c>
      <c r="BY102" s="527">
        <f t="shared" si="66"/>
        <v>96.077452099642258</v>
      </c>
      <c r="BZ102" s="417">
        <f t="shared" si="67"/>
        <v>0.3655138378497616</v>
      </c>
      <c r="CA102" s="544">
        <f t="shared" si="26"/>
        <v>45.903210392984278</v>
      </c>
      <c r="CB102" s="649">
        <f t="shared" si="27"/>
        <v>0.10393620474397769</v>
      </c>
      <c r="CC102" s="525">
        <f t="shared" si="68"/>
        <v>0.11920786200253786</v>
      </c>
      <c r="CD102" s="417">
        <f t="shared" si="28"/>
        <v>0.10393620474397769</v>
      </c>
      <c r="CE102" s="525">
        <f t="shared" si="69"/>
        <v>0.11920786200253786</v>
      </c>
      <c r="CG102" s="527">
        <f t="shared" si="70"/>
        <v>1332.37005393657</v>
      </c>
      <c r="CH102" s="528">
        <f t="shared" si="71"/>
        <v>515.72983554346013</v>
      </c>
      <c r="CI102" s="528">
        <f t="shared" si="72"/>
        <v>2133.452912145774</v>
      </c>
      <c r="CJ102" s="528">
        <f t="shared" si="73"/>
        <v>3034.4755455066766</v>
      </c>
      <c r="CK102" s="528">
        <f t="shared" si="74"/>
        <v>41.08821272373698</v>
      </c>
      <c r="CL102" s="528">
        <f t="shared" si="75"/>
        <v>7057.1165598562175</v>
      </c>
      <c r="CM102" s="646">
        <f t="shared" si="76"/>
        <v>0</v>
      </c>
    </row>
    <row r="103" spans="1:91">
      <c r="A103" s="873">
        <f>'Input data'!A123</f>
        <v>2023</v>
      </c>
      <c r="B103" s="1553">
        <f>'Input data'!B123</f>
        <v>61.381</v>
      </c>
      <c r="C103" s="1552">
        <f>'Input data'!C123</f>
        <v>3140.61</v>
      </c>
      <c r="D103" s="1554">
        <f>'Input data'!D123</f>
        <v>44745286.877069645</v>
      </c>
      <c r="E103" s="1456">
        <f t="shared" si="29"/>
        <v>0.76665454545454537</v>
      </c>
      <c r="F103" s="1506">
        <f t="shared" si="30"/>
        <v>0.30371818181818178</v>
      </c>
      <c r="G103" s="1511">
        <f>B103*F103*'Input data'!$C$9</f>
        <v>570.59294620778201</v>
      </c>
      <c r="H103" s="1510">
        <f>'Input data'!I123</f>
        <v>424.26313389388866</v>
      </c>
      <c r="I103" s="1511">
        <f>'Input data'!K123</f>
        <v>26041.695421540779</v>
      </c>
      <c r="J103" s="1511">
        <f t="shared" si="77"/>
        <v>8092.9304563271235</v>
      </c>
      <c r="K103" s="1513">
        <f t="shared" si="78"/>
        <v>4009.125826131647</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1820.0929553179019</v>
      </c>
      <c r="Y103" s="528">
        <f t="shared" si="79"/>
        <v>1820.0929553179019</v>
      </c>
      <c r="Z103" s="528">
        <f t="shared" si="80"/>
        <v>10281.963327140869</v>
      </c>
      <c r="AA103" s="530">
        <f t="shared" si="81"/>
        <v>2189.0328708137458</v>
      </c>
      <c r="AB103" s="1091">
        <f t="shared" si="42"/>
        <v>0.21290027995290034</v>
      </c>
      <c r="AC103" s="135" t="str">
        <f t="shared" si="43"/>
        <v>Yes</v>
      </c>
      <c r="AD103" s="1091">
        <f t="shared" si="44"/>
        <v>0.21290027995290034</v>
      </c>
      <c r="AE103" s="649">
        <f t="shared" si="11"/>
        <v>0.11889793455990316</v>
      </c>
      <c r="AF103" s="530">
        <f t="shared" si="45"/>
        <v>373.81912356399363</v>
      </c>
      <c r="AG103" s="527">
        <f t="shared" si="46"/>
        <v>8092.9304563271235</v>
      </c>
      <c r="AH103" s="528">
        <f t="shared" si="82"/>
        <v>7138.4079555804774</v>
      </c>
      <c r="AI103" s="528">
        <f t="shared" si="83"/>
        <v>5224.2679140436703</v>
      </c>
      <c r="AJ103" s="528">
        <f t="shared" si="12"/>
        <v>2489.7852975302226</v>
      </c>
      <c r="AK103" s="528">
        <f t="shared" si="47"/>
        <v>22945.391623481493</v>
      </c>
      <c r="AL103" s="716">
        <f t="shared" si="13"/>
        <v>0</v>
      </c>
      <c r="AM103" s="649">
        <f t="shared" si="48"/>
        <v>0.35270395856068582</v>
      </c>
      <c r="AN103" s="417">
        <f t="shared" si="49"/>
        <v>0.31110421093337476</v>
      </c>
      <c r="AO103" s="417">
        <f t="shared" si="50"/>
        <v>0.22768266498870043</v>
      </c>
      <c r="AP103" s="417">
        <f t="shared" si="51"/>
        <v>0.10850916551723899</v>
      </c>
      <c r="AQ103" s="525">
        <f t="shared" si="52"/>
        <v>1</v>
      </c>
      <c r="AR103" s="1086">
        <f t="shared" si="14"/>
        <v>1654.6695332956638</v>
      </c>
      <c r="AS103" s="938">
        <f t="shared" si="15"/>
        <v>2098.5686169119849</v>
      </c>
      <c r="AT103" s="938">
        <f t="shared" si="16"/>
        <v>561.98922252218642</v>
      </c>
      <c r="AU103" s="938">
        <f t="shared" si="17"/>
        <v>0</v>
      </c>
      <c r="AV103" s="938">
        <f t="shared" si="18"/>
        <v>0</v>
      </c>
      <c r="AW103" s="938">
        <f t="shared" si="19"/>
        <v>0</v>
      </c>
      <c r="AX103" s="938">
        <f t="shared" si="20"/>
        <v>2392.015997173608</v>
      </c>
      <c r="AY103" s="938">
        <f t="shared" si="21"/>
        <v>345.83097528979346</v>
      </c>
      <c r="AZ103" s="938">
        <f t="shared" si="22"/>
        <v>502.66353741588989</v>
      </c>
      <c r="BA103" s="938">
        <f t="shared" si="23"/>
        <v>441.88115219367535</v>
      </c>
      <c r="BB103" s="938">
        <f t="shared" si="24"/>
        <v>95.311421524319883</v>
      </c>
      <c r="BC103" s="530">
        <f t="shared" si="53"/>
        <v>8092.9304563271198</v>
      </c>
      <c r="BD103" s="724">
        <f t="shared" si="54"/>
        <v>0</v>
      </c>
      <c r="BE103" s="436">
        <f t="shared" si="55"/>
        <v>0.20445863735330005</v>
      </c>
      <c r="BF103" s="624">
        <f t="shared" si="56"/>
        <v>0.25930886571146877</v>
      </c>
      <c r="BG103" s="624">
        <f t="shared" si="57"/>
        <v>6.9441993299574026E-2</v>
      </c>
      <c r="BH103" s="624">
        <f t="shared" si="58"/>
        <v>0</v>
      </c>
      <c r="BI103" s="624">
        <f t="shared" si="59"/>
        <v>0</v>
      </c>
      <c r="BJ103" s="624">
        <f t="shared" si="60"/>
        <v>0</v>
      </c>
      <c r="BK103" s="624">
        <f t="shared" si="61"/>
        <v>0.46679050363565738</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93.930652892571672</v>
      </c>
      <c r="BW103" s="114">
        <f t="shared" si="65"/>
        <v>0.38470960212142652</v>
      </c>
      <c r="BX103" s="1695">
        <f t="shared" si="25"/>
        <v>44.745286877069645</v>
      </c>
      <c r="BY103" s="527">
        <f t="shared" si="66"/>
        <v>93.930652892571672</v>
      </c>
      <c r="BZ103" s="417">
        <f t="shared" si="67"/>
        <v>0.38470960212142652</v>
      </c>
      <c r="CA103" s="544">
        <f t="shared" si="26"/>
        <v>44.745286877069645</v>
      </c>
      <c r="CB103" s="649">
        <f t="shared" si="27"/>
        <v>0.11889793455990316</v>
      </c>
      <c r="CC103" s="525">
        <f t="shared" si="68"/>
        <v>0.13950415787463422</v>
      </c>
      <c r="CD103" s="417">
        <f t="shared" si="28"/>
        <v>0.11889793455990316</v>
      </c>
      <c r="CE103" s="525">
        <f t="shared" si="69"/>
        <v>0.13950415787463422</v>
      </c>
      <c r="CG103" s="527">
        <f t="shared" si="70"/>
        <v>1347.7177133364191</v>
      </c>
      <c r="CH103" s="528">
        <f t="shared" si="71"/>
        <v>521.67056187161131</v>
      </c>
      <c r="CI103" s="528">
        <f t="shared" si="72"/>
        <v>2158.0282983490943</v>
      </c>
      <c r="CJ103" s="528">
        <f t="shared" si="73"/>
        <v>3069.4298714403826</v>
      </c>
      <c r="CK103" s="528">
        <f t="shared" si="74"/>
        <v>41.561510582968587</v>
      </c>
      <c r="CL103" s="528">
        <f t="shared" si="75"/>
        <v>7138.4079555804756</v>
      </c>
      <c r="CM103" s="646">
        <f t="shared" si="76"/>
        <v>0</v>
      </c>
    </row>
    <row r="104" spans="1:91">
      <c r="A104" s="873">
        <f>'Input data'!A124</f>
        <v>2024</v>
      </c>
      <c r="B104" s="1553">
        <f>'Input data'!B124</f>
        <v>62.088000000000001</v>
      </c>
      <c r="C104" s="1552">
        <f>'Input data'!C124</f>
        <v>3201.77</v>
      </c>
      <c r="D104" s="1554">
        <f>'Input data'!D124</f>
        <v>43251251.992583826</v>
      </c>
      <c r="E104" s="1456">
        <f t="shared" si="29"/>
        <v>0.7752969696969696</v>
      </c>
      <c r="F104" s="1506">
        <f t="shared" si="30"/>
        <v>0.30607121212121208</v>
      </c>
      <c r="G104" s="1511">
        <f>B104*F104*'Input data'!$C$9</f>
        <v>581.63669967536055</v>
      </c>
      <c r="H104" s="1510">
        <f>'Input data'!I124</f>
        <v>424.26313389388866</v>
      </c>
      <c r="I104" s="1511">
        <f>'Input data'!K124</f>
        <v>26341.649457203759</v>
      </c>
      <c r="J104" s="1511">
        <f t="shared" si="77"/>
        <v>7672.7253907543954</v>
      </c>
      <c r="K104" s="1513">
        <f t="shared" si="78"/>
        <v>4568.7250656620881</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2123.4417812042188</v>
      </c>
      <c r="Y104" s="528">
        <f t="shared" si="79"/>
        <v>2123.4417812042188</v>
      </c>
      <c r="Z104" s="528">
        <f t="shared" si="80"/>
        <v>10118.008675212264</v>
      </c>
      <c r="AA104" s="530">
        <f t="shared" si="81"/>
        <v>2445.2832844578688</v>
      </c>
      <c r="AB104" s="1091">
        <f t="shared" si="42"/>
        <v>0.24167633799805668</v>
      </c>
      <c r="AC104" s="135" t="str">
        <f t="shared" si="43"/>
        <v>Yes</v>
      </c>
      <c r="AD104" s="1091">
        <f t="shared" si="44"/>
        <v>0.24167633799805668</v>
      </c>
      <c r="AE104" s="649">
        <f t="shared" si="11"/>
        <v>0.1326526054958207</v>
      </c>
      <c r="AF104" s="530">
        <f t="shared" si="45"/>
        <v>367.98352376704213</v>
      </c>
      <c r="AG104" s="527">
        <f t="shared" si="46"/>
        <v>7672.7253907543954</v>
      </c>
      <c r="AH104" s="528">
        <f t="shared" si="82"/>
        <v>7220.6297249324816</v>
      </c>
      <c r="AI104" s="528">
        <f t="shared" si="83"/>
        <v>5527.6167399299875</v>
      </c>
      <c r="AJ104" s="528">
        <f t="shared" si="12"/>
        <v>2426.3891680312458</v>
      </c>
      <c r="AK104" s="528">
        <f t="shared" si="47"/>
        <v>22847.361023648111</v>
      </c>
      <c r="AL104" s="716">
        <f t="shared" si="13"/>
        <v>0</v>
      </c>
      <c r="AM104" s="649">
        <f t="shared" si="48"/>
        <v>0.33582545410004938</v>
      </c>
      <c r="AN104" s="417">
        <f t="shared" si="49"/>
        <v>0.31603780049077812</v>
      </c>
      <c r="AO104" s="417">
        <f t="shared" si="50"/>
        <v>0.24193677047465745</v>
      </c>
      <c r="AP104" s="417">
        <f t="shared" si="51"/>
        <v>0.10619997493451507</v>
      </c>
      <c r="AQ104" s="525">
        <f t="shared" si="52"/>
        <v>1</v>
      </c>
      <c r="AR104" s="1086">
        <f t="shared" si="14"/>
        <v>1518.1312786442288</v>
      </c>
      <c r="AS104" s="938">
        <f t="shared" si="15"/>
        <v>1925.4011714168494</v>
      </c>
      <c r="AT104" s="938">
        <f t="shared" si="16"/>
        <v>547.6795784081387</v>
      </c>
      <c r="AU104" s="938">
        <f t="shared" si="17"/>
        <v>0</v>
      </c>
      <c r="AV104" s="938">
        <f t="shared" si="18"/>
        <v>0</v>
      </c>
      <c r="AW104" s="938">
        <f t="shared" si="19"/>
        <v>0</v>
      </c>
      <c r="AX104" s="938">
        <f t="shared" si="20"/>
        <v>2331.1093173603449</v>
      </c>
      <c r="AY104" s="938">
        <f t="shared" si="21"/>
        <v>337.02525805948551</v>
      </c>
      <c r="AZ104" s="938">
        <f t="shared" si="22"/>
        <v>489.86447287645251</v>
      </c>
      <c r="BA104" s="938">
        <f t="shared" si="23"/>
        <v>430.62975843879394</v>
      </c>
      <c r="BB104" s="938">
        <f t="shared" si="24"/>
        <v>92.884555550100643</v>
      </c>
      <c r="BC104" s="530">
        <f t="shared" si="53"/>
        <v>7672.7253907543936</v>
      </c>
      <c r="BD104" s="724">
        <f t="shared" si="54"/>
        <v>0</v>
      </c>
      <c r="BE104" s="436">
        <f t="shared" si="55"/>
        <v>0.19786076020309179</v>
      </c>
      <c r="BF104" s="624">
        <f t="shared" si="56"/>
        <v>0.25094097251765984</v>
      </c>
      <c r="BG104" s="624">
        <f t="shared" si="57"/>
        <v>7.1380057348082684E-2</v>
      </c>
      <c r="BH104" s="624">
        <f t="shared" si="58"/>
        <v>0</v>
      </c>
      <c r="BI104" s="624">
        <f t="shared" si="59"/>
        <v>0</v>
      </c>
      <c r="BJ104" s="624">
        <f t="shared" si="60"/>
        <v>0</v>
      </c>
      <c r="BK104" s="624">
        <f t="shared" si="61"/>
        <v>0.47981820993116581</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91.917226855193647</v>
      </c>
      <c r="BW104" s="114">
        <f t="shared" si="65"/>
        <v>0.40387901287645056</v>
      </c>
      <c r="BX104" s="1695">
        <f t="shared" si="25"/>
        <v>43.251251992583825</v>
      </c>
      <c r="BY104" s="527">
        <f t="shared" si="66"/>
        <v>91.917226855193647</v>
      </c>
      <c r="BZ104" s="417">
        <f t="shared" si="67"/>
        <v>0.40387901287645056</v>
      </c>
      <c r="CA104" s="544">
        <f t="shared" si="26"/>
        <v>43.251251992583825</v>
      </c>
      <c r="CB104" s="649">
        <f t="shared" si="27"/>
        <v>0.1326526054958207</v>
      </c>
      <c r="CC104" s="525">
        <f t="shared" si="68"/>
        <v>0.15494854161217309</v>
      </c>
      <c r="CD104" s="417">
        <f t="shared" si="28"/>
        <v>0.1326526054958207</v>
      </c>
      <c r="CE104" s="525">
        <f t="shared" si="69"/>
        <v>0.15494854161217309</v>
      </c>
      <c r="CG104" s="527">
        <f t="shared" si="70"/>
        <v>1363.2410254904871</v>
      </c>
      <c r="CH104" s="528">
        <f t="shared" si="71"/>
        <v>527.67927934514921</v>
      </c>
      <c r="CI104" s="528">
        <f t="shared" si="72"/>
        <v>2182.8849479138266</v>
      </c>
      <c r="CJ104" s="528">
        <f t="shared" si="73"/>
        <v>3104.7842468840599</v>
      </c>
      <c r="CK104" s="528">
        <f t="shared" si="74"/>
        <v>42.040225298958205</v>
      </c>
      <c r="CL104" s="528">
        <f t="shared" si="75"/>
        <v>7220.6297249324807</v>
      </c>
      <c r="CM104" s="646">
        <f t="shared" si="76"/>
        <v>0</v>
      </c>
    </row>
    <row r="105" spans="1:91">
      <c r="A105" s="873">
        <f>'Input data'!A125</f>
        <v>2025</v>
      </c>
      <c r="B105" s="1553">
        <f>'Input data'!B125</f>
        <v>62.802999999999997</v>
      </c>
      <c r="C105" s="1552">
        <f>'Input data'!C125</f>
        <v>3265.54</v>
      </c>
      <c r="D105" s="1554">
        <f>'Input data'!D125</f>
        <v>40955103.194912732</v>
      </c>
      <c r="E105" s="1456">
        <f t="shared" si="29"/>
        <v>0.78393939393939382</v>
      </c>
      <c r="F105" s="1506">
        <f t="shared" si="30"/>
        <v>0.30842424242424238</v>
      </c>
      <c r="G105" s="1511">
        <f>B105*F105*'Input data'!$C$9</f>
        <v>592.85780817693978</v>
      </c>
      <c r="H105" s="1510">
        <f>'Input data'!I125</f>
        <v>424.26313389388866</v>
      </c>
      <c r="I105" s="1511">
        <f>'Input data'!K125</f>
        <v>26644.997597937887</v>
      </c>
      <c r="J105" s="1511">
        <f t="shared" si="77"/>
        <v>7274.338416673475</v>
      </c>
      <c r="K105" s="1513">
        <f t="shared" si="78"/>
        <v>5108.0835169421089</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2426.790607090536</v>
      </c>
      <c r="Y105" s="528">
        <f t="shared" si="79"/>
        <v>2426.790607090536</v>
      </c>
      <c r="Z105" s="528">
        <f t="shared" si="80"/>
        <v>9955.6313265250483</v>
      </c>
      <c r="AA105" s="530">
        <f t="shared" si="81"/>
        <v>2681.2929098515733</v>
      </c>
      <c r="AB105" s="1091">
        <f t="shared" si="42"/>
        <v>0.26932424694230439</v>
      </c>
      <c r="AC105" s="135" t="str">
        <f t="shared" si="43"/>
        <v>Yes</v>
      </c>
      <c r="AD105" s="1091">
        <f t="shared" si="44"/>
        <v>0.26932424694230439</v>
      </c>
      <c r="AE105" s="649">
        <f t="shared" si="11"/>
        <v>0.14528293898096023</v>
      </c>
      <c r="AF105" s="530">
        <f t="shared" si="45"/>
        <v>362.62493890051189</v>
      </c>
      <c r="AG105" s="527">
        <f t="shared" si="46"/>
        <v>7274.338416673475</v>
      </c>
      <c r="AH105" s="528">
        <f t="shared" si="82"/>
        <v>7303.7818679122311</v>
      </c>
      <c r="AI105" s="528">
        <f t="shared" si="83"/>
        <v>5830.9655658163047</v>
      </c>
      <c r="AJ105" s="528">
        <f t="shared" si="12"/>
        <v>2364.8481873668366</v>
      </c>
      <c r="AK105" s="528">
        <f t="shared" si="47"/>
        <v>22773.934037768846</v>
      </c>
      <c r="AL105" s="716">
        <f t="shared" si="13"/>
        <v>0</v>
      </c>
      <c r="AM105" s="649">
        <f t="shared" si="48"/>
        <v>0.31941509993879563</v>
      </c>
      <c r="AN105" s="417">
        <f t="shared" si="49"/>
        <v>0.32070795743060737</v>
      </c>
      <c r="AO105" s="417">
        <f t="shared" si="50"/>
        <v>0.2560368163070153</v>
      </c>
      <c r="AP105" s="417">
        <f t="shared" si="51"/>
        <v>0.10384012632358181</v>
      </c>
      <c r="AQ105" s="525">
        <f t="shared" si="52"/>
        <v>1</v>
      </c>
      <c r="AR105" s="1086">
        <f t="shared" si="14"/>
        <v>1389.7863013628398</v>
      </c>
      <c r="AS105" s="938">
        <f t="shared" si="15"/>
        <v>1762.6250182084509</v>
      </c>
      <c r="AT105" s="938">
        <f t="shared" si="16"/>
        <v>533.78867467794487</v>
      </c>
      <c r="AU105" s="938">
        <f t="shared" si="17"/>
        <v>0</v>
      </c>
      <c r="AV105" s="938">
        <f t="shared" si="18"/>
        <v>0</v>
      </c>
      <c r="AW105" s="938">
        <f t="shared" si="19"/>
        <v>0</v>
      </c>
      <c r="AX105" s="938">
        <f t="shared" si="20"/>
        <v>2271.9849380907576</v>
      </c>
      <c r="AY105" s="938">
        <f t="shared" si="21"/>
        <v>328.47722085138776</v>
      </c>
      <c r="AZ105" s="938">
        <f t="shared" si="22"/>
        <v>477.43994491916214</v>
      </c>
      <c r="BA105" s="938">
        <f t="shared" si="23"/>
        <v>419.70761207135678</v>
      </c>
      <c r="BB105" s="938">
        <f t="shared" si="24"/>
        <v>90.52870649157181</v>
      </c>
      <c r="BC105" s="530">
        <f t="shared" si="53"/>
        <v>7274.3384166734713</v>
      </c>
      <c r="BD105" s="724">
        <f t="shared" si="54"/>
        <v>0</v>
      </c>
      <c r="BE105" s="436">
        <f t="shared" si="55"/>
        <v>0.19105329196361256</v>
      </c>
      <c r="BF105" s="624">
        <f t="shared" si="56"/>
        <v>0.24230726112059178</v>
      </c>
      <c r="BG105" s="624">
        <f t="shared" si="57"/>
        <v>7.337968679797062E-2</v>
      </c>
      <c r="BH105" s="624">
        <f t="shared" si="58"/>
        <v>0</v>
      </c>
      <c r="BI105" s="624">
        <f t="shared" si="59"/>
        <v>0</v>
      </c>
      <c r="BJ105" s="624">
        <f t="shared" si="60"/>
        <v>0</v>
      </c>
      <c r="BK105" s="624">
        <f t="shared" si="61"/>
        <v>0.49325976011782507</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89.983613959797935</v>
      </c>
      <c r="BW105" s="114">
        <f t="shared" si="65"/>
        <v>0.42268646425211975</v>
      </c>
      <c r="BX105" s="1695">
        <f t="shared" si="25"/>
        <v>40.955103194912731</v>
      </c>
      <c r="BY105" s="527">
        <f t="shared" si="66"/>
        <v>89.983613959797935</v>
      </c>
      <c r="BZ105" s="417">
        <f t="shared" si="67"/>
        <v>0.42268646425211975</v>
      </c>
      <c r="CA105" s="544">
        <f t="shared" si="26"/>
        <v>40.955103194912731</v>
      </c>
      <c r="CB105" s="649">
        <f t="shared" si="27"/>
        <v>0.14528293898096023</v>
      </c>
      <c r="CC105" s="525">
        <f t="shared" si="68"/>
        <v>0.16202458633409866</v>
      </c>
      <c r="CD105" s="417">
        <f t="shared" si="28"/>
        <v>0.14528293898096023</v>
      </c>
      <c r="CE105" s="525">
        <f t="shared" si="69"/>
        <v>0.16202458633409866</v>
      </c>
      <c r="CG105" s="527">
        <f t="shared" si="70"/>
        <v>1378.9399903987735</v>
      </c>
      <c r="CH105" s="528">
        <f t="shared" si="71"/>
        <v>533.75598796407371</v>
      </c>
      <c r="CI105" s="528">
        <f t="shared" si="72"/>
        <v>2208.0228608399698</v>
      </c>
      <c r="CJ105" s="528">
        <f t="shared" si="73"/>
        <v>3140.5386718377076</v>
      </c>
      <c r="CK105" s="528">
        <f t="shared" si="74"/>
        <v>42.524356871705834</v>
      </c>
      <c r="CL105" s="528">
        <f t="shared" si="75"/>
        <v>7303.7818679122302</v>
      </c>
      <c r="CM105" s="646">
        <f t="shared" si="76"/>
        <v>0</v>
      </c>
    </row>
    <row r="106" spans="1:91">
      <c r="A106" s="873">
        <f>'Input data'!A126</f>
        <v>2026</v>
      </c>
      <c r="B106" s="1553">
        <f>'Input data'!B126</f>
        <v>63.420999999999999</v>
      </c>
      <c r="C106" s="1552">
        <f>'Input data'!C126</f>
        <v>3341.28</v>
      </c>
      <c r="D106" s="1554">
        <f>'Input data'!D126</f>
        <v>39969673.998818383</v>
      </c>
      <c r="E106" s="1456">
        <f t="shared" si="29"/>
        <v>0.79258181818181805</v>
      </c>
      <c r="F106" s="1506">
        <f t="shared" si="30"/>
        <v>0.31077727272727268</v>
      </c>
      <c r="G106" s="1511">
        <f>B106*F106*'Input data'!$C$9</f>
        <v>603.2592423450709</v>
      </c>
      <c r="H106" s="1510">
        <f>'Input data'!I126</f>
        <v>424.26313389388866</v>
      </c>
      <c r="I106" s="1511">
        <f>'Input data'!K126</f>
        <v>26907.192214684314</v>
      </c>
      <c r="J106" s="1511">
        <f t="shared" si="77"/>
        <v>6896.6366845417324</v>
      </c>
      <c r="K106" s="1513">
        <f t="shared" si="78"/>
        <v>5607.6319244711176</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2730.1394329768527</v>
      </c>
      <c r="Y106" s="528">
        <f t="shared" si="79"/>
        <v>2730.1394329768527</v>
      </c>
      <c r="Z106" s="528">
        <f t="shared" si="80"/>
        <v>9774.1291760359964</v>
      </c>
      <c r="AA106" s="530">
        <f t="shared" si="81"/>
        <v>2877.492491494264</v>
      </c>
      <c r="AB106" s="1091">
        <f t="shared" si="42"/>
        <v>0.29439886046822866</v>
      </c>
      <c r="AC106" s="135" t="str">
        <f t="shared" si="43"/>
        <v>Yes</v>
      </c>
      <c r="AD106" s="1091">
        <f t="shared" si="44"/>
        <v>0.29439886046822866</v>
      </c>
      <c r="AE106" s="649">
        <f t="shared" si="11"/>
        <v>0.15588479128872978</v>
      </c>
      <c r="AF106" s="530">
        <f t="shared" si="45"/>
        <v>358.12696381533743</v>
      </c>
      <c r="AG106" s="527">
        <f t="shared" si="46"/>
        <v>6896.6366845417324</v>
      </c>
      <c r="AH106" s="528">
        <f t="shared" si="82"/>
        <v>7375.6532306555682</v>
      </c>
      <c r="AI106" s="528">
        <f t="shared" si="83"/>
        <v>6134.3143917026209</v>
      </c>
      <c r="AJ106" s="528">
        <f t="shared" si="12"/>
        <v>2306.1658652325914</v>
      </c>
      <c r="AK106" s="528">
        <f t="shared" si="47"/>
        <v>22712.770172132514</v>
      </c>
      <c r="AL106" s="716">
        <f t="shared" si="13"/>
        <v>0</v>
      </c>
      <c r="AM106" s="649">
        <f t="shared" si="48"/>
        <v>0.30364577426154632</v>
      </c>
      <c r="AN106" s="417">
        <f t="shared" si="49"/>
        <v>0.32473596020027284</v>
      </c>
      <c r="AO106" s="417">
        <f t="shared" si="50"/>
        <v>0.27008217602752538</v>
      </c>
      <c r="AP106" s="417">
        <f t="shared" si="51"/>
        <v>0.10153608951065542</v>
      </c>
      <c r="AQ106" s="525">
        <f t="shared" si="52"/>
        <v>1</v>
      </c>
      <c r="AR106" s="1086">
        <f t="shared" si="14"/>
        <v>1268.3640450967946</v>
      </c>
      <c r="AS106" s="938">
        <f t="shared" si="15"/>
        <v>1608.6287480970122</v>
      </c>
      <c r="AT106" s="938">
        <f t="shared" si="16"/>
        <v>520.54302147855674</v>
      </c>
      <c r="AU106" s="938">
        <f t="shared" si="17"/>
        <v>0</v>
      </c>
      <c r="AV106" s="938">
        <f t="shared" si="18"/>
        <v>0</v>
      </c>
      <c r="AW106" s="938">
        <f t="shared" si="19"/>
        <v>0</v>
      </c>
      <c r="AX106" s="938">
        <f t="shared" si="20"/>
        <v>2215.6069630759443</v>
      </c>
      <c r="AY106" s="938">
        <f t="shared" si="21"/>
        <v>320.32625108058591</v>
      </c>
      <c r="AZ106" s="938">
        <f t="shared" si="22"/>
        <v>465.59255243233258</v>
      </c>
      <c r="BA106" s="938">
        <f t="shared" si="23"/>
        <v>409.29281359704549</v>
      </c>
      <c r="BB106" s="938">
        <f t="shared" si="24"/>
        <v>88.282289683459439</v>
      </c>
      <c r="BC106" s="530">
        <f t="shared" si="53"/>
        <v>6896.6366845417315</v>
      </c>
      <c r="BD106" s="724">
        <f t="shared" si="54"/>
        <v>0</v>
      </c>
      <c r="BE106" s="436">
        <f t="shared" si="55"/>
        <v>0.18391052089777801</v>
      </c>
      <c r="BF106" s="624">
        <f t="shared" si="56"/>
        <v>0.23324829502801372</v>
      </c>
      <c r="BG106" s="624">
        <f t="shared" si="57"/>
        <v>7.547780828375561E-2</v>
      </c>
      <c r="BH106" s="624">
        <f t="shared" si="58"/>
        <v>0</v>
      </c>
      <c r="BI106" s="624">
        <f t="shared" si="59"/>
        <v>0</v>
      </c>
      <c r="BJ106" s="624">
        <f t="shared" si="60"/>
        <v>0</v>
      </c>
      <c r="BK106" s="624">
        <f t="shared" si="61"/>
        <v>0.50736337579045265</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88.422852576847475</v>
      </c>
      <c r="BW106" s="114">
        <f t="shared" si="65"/>
        <v>0.44300089581504748</v>
      </c>
      <c r="BX106" s="1695">
        <f t="shared" si="25"/>
        <v>39.969673998818379</v>
      </c>
      <c r="BY106" s="527">
        <f t="shared" si="66"/>
        <v>88.422852576847475</v>
      </c>
      <c r="BZ106" s="417">
        <f t="shared" si="67"/>
        <v>0.44300089581504748</v>
      </c>
      <c r="CA106" s="544">
        <f t="shared" si="26"/>
        <v>39.969673998818379</v>
      </c>
      <c r="CB106" s="649">
        <f t="shared" si="27"/>
        <v>0.15588479128872978</v>
      </c>
      <c r="CC106" s="525">
        <f t="shared" si="68"/>
        <v>0.17995401291015212</v>
      </c>
      <c r="CD106" s="417">
        <f t="shared" si="28"/>
        <v>0.15588479128872978</v>
      </c>
      <c r="CE106" s="525">
        <f t="shared" si="69"/>
        <v>0.17995401291015212</v>
      </c>
      <c r="CG106" s="527">
        <f t="shared" si="70"/>
        <v>1392.5091656621601</v>
      </c>
      <c r="CH106" s="528">
        <f t="shared" si="71"/>
        <v>539.00830394518607</v>
      </c>
      <c r="CI106" s="528">
        <f t="shared" si="72"/>
        <v>2229.7504555089999</v>
      </c>
      <c r="CJ106" s="528">
        <f t="shared" si="73"/>
        <v>3171.4424964829595</v>
      </c>
      <c r="CK106" s="528">
        <f t="shared" si="74"/>
        <v>42.942809056262533</v>
      </c>
      <c r="CL106" s="528">
        <f t="shared" si="75"/>
        <v>7375.6532306555682</v>
      </c>
      <c r="CM106" s="646">
        <f t="shared" si="76"/>
        <v>0</v>
      </c>
    </row>
    <row r="107" spans="1:91" s="1" customFormat="1">
      <c r="A107" s="873">
        <f>'Input data'!A127</f>
        <v>2027</v>
      </c>
      <c r="B107" s="1553">
        <f>'Input data'!B127</f>
        <v>64.046000000000006</v>
      </c>
      <c r="C107" s="1552">
        <f>'Input data'!C127</f>
        <v>3416.2799999999997</v>
      </c>
      <c r="D107" s="1554">
        <f>'Input data'!D127</f>
        <v>38984244.802724026</v>
      </c>
      <c r="E107" s="1456">
        <f t="shared" si="29"/>
        <v>0.80122424242424228</v>
      </c>
      <c r="F107" s="1506">
        <f t="shared" si="30"/>
        <v>0.31313030303030298</v>
      </c>
      <c r="G107" s="1511">
        <f>B107*F107*'Input data'!$C$9</f>
        <v>613.81678041460282</v>
      </c>
      <c r="H107" s="1510">
        <f>'Input data'!I127</f>
        <v>424.26313389388866</v>
      </c>
      <c r="I107" s="1511">
        <f>'Input data'!K127</f>
        <v>27172.356673367995</v>
      </c>
      <c r="J107" s="1511">
        <f t="shared" si="77"/>
        <v>6538.546165180669</v>
      </c>
      <c r="K107" s="1513">
        <f t="shared" si="78"/>
        <v>6088.9492595656611</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3033.4882588631699</v>
      </c>
      <c r="Y107" s="528">
        <f t="shared" si="79"/>
        <v>3033.4882588631699</v>
      </c>
      <c r="Z107" s="528">
        <f t="shared" si="80"/>
        <v>9594.0071658831603</v>
      </c>
      <c r="AA107" s="530">
        <f t="shared" si="81"/>
        <v>3055.4610007024912</v>
      </c>
      <c r="AB107" s="1091">
        <f t="shared" si="42"/>
        <v>0.31847599734633153</v>
      </c>
      <c r="AC107" s="135" t="str">
        <f t="shared" si="43"/>
        <v>Yes</v>
      </c>
      <c r="AD107" s="1091">
        <f t="shared" si="44"/>
        <v>0.31847599734633153</v>
      </c>
      <c r="AE107" s="649">
        <f t="shared" si="11"/>
        <v>0.16555003142343172</v>
      </c>
      <c r="AF107" s="530">
        <f t="shared" si="45"/>
        <v>354.02635874595177</v>
      </c>
      <c r="AG107" s="527">
        <f t="shared" si="46"/>
        <v>6538.546165180669</v>
      </c>
      <c r="AH107" s="528">
        <f t="shared" si="82"/>
        <v>7448.3386703231827</v>
      </c>
      <c r="AI107" s="528">
        <f t="shared" si="83"/>
        <v>6437.663217588939</v>
      </c>
      <c r="AJ107" s="528">
        <f t="shared" si="12"/>
        <v>2249.4241191504411</v>
      </c>
      <c r="AK107" s="528">
        <f t="shared" si="47"/>
        <v>22673.97217224323</v>
      </c>
      <c r="AL107" s="716">
        <f t="shared" si="13"/>
        <v>0</v>
      </c>
      <c r="AM107" s="649">
        <f t="shared" si="48"/>
        <v>0.28837232909657329</v>
      </c>
      <c r="AN107" s="417">
        <f t="shared" si="49"/>
        <v>0.32849730138776506</v>
      </c>
      <c r="AO107" s="417">
        <f t="shared" si="50"/>
        <v>0.28392304483242359</v>
      </c>
      <c r="AP107" s="417">
        <f t="shared" si="51"/>
        <v>9.9207324683238174E-2</v>
      </c>
      <c r="AQ107" s="525">
        <f t="shared" si="52"/>
        <v>1.0000000000000002</v>
      </c>
      <c r="AR107" s="1086">
        <f t="shared" si="14"/>
        <v>1154.0964871581821</v>
      </c>
      <c r="AS107" s="938">
        <f t="shared" si="15"/>
        <v>1463.7065710726185</v>
      </c>
      <c r="AT107" s="938">
        <f t="shared" si="16"/>
        <v>507.73539111906706</v>
      </c>
      <c r="AU107" s="938">
        <f t="shared" si="17"/>
        <v>0</v>
      </c>
      <c r="AV107" s="938">
        <f t="shared" si="18"/>
        <v>0</v>
      </c>
      <c r="AW107" s="938">
        <f t="shared" si="19"/>
        <v>0</v>
      </c>
      <c r="AX107" s="938">
        <f t="shared" si="20"/>
        <v>2161.093361252244</v>
      </c>
      <c r="AY107" s="938">
        <f t="shared" si="21"/>
        <v>312.4448271655595</v>
      </c>
      <c r="AZ107" s="938">
        <f t="shared" si="22"/>
        <v>454.13694345548583</v>
      </c>
      <c r="BA107" s="938">
        <f t="shared" si="23"/>
        <v>399.22242392885471</v>
      </c>
      <c r="BB107" s="938">
        <f t="shared" si="24"/>
        <v>86.110160028654889</v>
      </c>
      <c r="BC107" s="530">
        <f t="shared" si="53"/>
        <v>6538.5461651806663</v>
      </c>
      <c r="BD107" s="724">
        <f t="shared" si="54"/>
        <v>0</v>
      </c>
      <c r="BE107" s="436">
        <f t="shared" si="55"/>
        <v>0.17650658999763952</v>
      </c>
      <c r="BF107" s="624">
        <f t="shared" si="56"/>
        <v>0.22385810761224087</v>
      </c>
      <c r="BG107" s="624">
        <f t="shared" si="57"/>
        <v>7.7652643002335958E-2</v>
      </c>
      <c r="BH107" s="624">
        <f t="shared" si="58"/>
        <v>0</v>
      </c>
      <c r="BI107" s="624">
        <f t="shared" si="59"/>
        <v>0</v>
      </c>
      <c r="BJ107" s="624">
        <f t="shared" si="60"/>
        <v>0</v>
      </c>
      <c r="BK107" s="624">
        <f t="shared" si="61"/>
        <v>0.52198265938778365</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87.021952706024905</v>
      </c>
      <c r="BW107" s="114">
        <f t="shared" si="65"/>
        <v>0.46342054466406563</v>
      </c>
      <c r="BX107" s="1695">
        <f t="shared" si="25"/>
        <v>38.984244802724028</v>
      </c>
      <c r="BY107" s="527">
        <f t="shared" si="66"/>
        <v>87.021952706024905</v>
      </c>
      <c r="BZ107" s="417">
        <f t="shared" si="67"/>
        <v>0.46342054466406563</v>
      </c>
      <c r="CA107" s="544">
        <f t="shared" si="26"/>
        <v>38.984244802724028</v>
      </c>
      <c r="CB107" s="649">
        <f t="shared" si="27"/>
        <v>0.16555003142343172</v>
      </c>
      <c r="CC107" s="525">
        <f t="shared" si="68"/>
        <v>0.19611023439077668</v>
      </c>
      <c r="CD107" s="417">
        <f t="shared" si="28"/>
        <v>0.16555003142343172</v>
      </c>
      <c r="CE107" s="525">
        <f t="shared" si="69"/>
        <v>0.19611023439077668</v>
      </c>
      <c r="CG107" s="527">
        <f t="shared" si="70"/>
        <v>1406.2320370854875</v>
      </c>
      <c r="CH107" s="528">
        <f t="shared" si="71"/>
        <v>544.32011217851164</v>
      </c>
      <c r="CI107" s="528">
        <f t="shared" si="72"/>
        <v>2251.7241556192653</v>
      </c>
      <c r="CJ107" s="528">
        <f t="shared" si="73"/>
        <v>3202.6963644494349</v>
      </c>
      <c r="CK107" s="528">
        <f t="shared" si="74"/>
        <v>43.366000990482497</v>
      </c>
      <c r="CL107" s="528">
        <f t="shared" si="75"/>
        <v>7448.3386703231818</v>
      </c>
      <c r="CM107" s="646">
        <f t="shared" si="76"/>
        <v>0</v>
      </c>
    </row>
    <row r="108" spans="1:91">
      <c r="A108" s="873">
        <f>'Input data'!A128</f>
        <v>2028</v>
      </c>
      <c r="B108" s="1553">
        <f>'Input data'!B128</f>
        <v>64.676000000000002</v>
      </c>
      <c r="C108" s="1552">
        <f>'Input data'!C128</f>
        <v>3494.8800000000006</v>
      </c>
      <c r="D108" s="1554">
        <f>'Input data'!D128</f>
        <v>37998815.60662967</v>
      </c>
      <c r="E108" s="1456">
        <f t="shared" si="29"/>
        <v>0.80986666666666651</v>
      </c>
      <c r="F108" s="1506">
        <f t="shared" si="30"/>
        <v>0.31548333333333328</v>
      </c>
      <c r="G108" s="1511">
        <f>B108*F108*'Input data'!$C$9</f>
        <v>624.51262275570207</v>
      </c>
      <c r="H108" s="1510">
        <f>'Input data'!I128</f>
        <v>424.26313389388866</v>
      </c>
      <c r="I108" s="1511">
        <f>'Input data'!K128</f>
        <v>27439.642447721144</v>
      </c>
      <c r="J108" s="1511">
        <f t="shared" si="77"/>
        <v>6199.0485956764105</v>
      </c>
      <c r="K108" s="1513">
        <f t="shared" si="78"/>
        <v>6552.6594593292675</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3033.4882588631699</v>
      </c>
      <c r="Y108" s="528">
        <f t="shared" si="79"/>
        <v>3033.4882588631699</v>
      </c>
      <c r="Z108" s="528">
        <f t="shared" si="80"/>
        <v>9718.2197961425081</v>
      </c>
      <c r="AA108" s="530">
        <f t="shared" si="81"/>
        <v>3519.1712004660976</v>
      </c>
      <c r="AB108" s="1091">
        <f t="shared" si="42"/>
        <v>0.36212097218288647</v>
      </c>
      <c r="AC108" s="135" t="str">
        <f t="shared" si="43"/>
        <v>Yes</v>
      </c>
      <c r="AD108" s="1091">
        <f t="shared" si="44"/>
        <v>0.36212097218288647</v>
      </c>
      <c r="AE108" s="649">
        <f t="shared" si="11"/>
        <v>0.1878757999109899</v>
      </c>
      <c r="AF108" s="530">
        <f t="shared" si="45"/>
        <v>344.55435824083094</v>
      </c>
      <c r="AG108" s="527">
        <f t="shared" si="46"/>
        <v>6199.0485956764105</v>
      </c>
      <c r="AH108" s="528">
        <f t="shared" si="82"/>
        <v>7521.6055935081367</v>
      </c>
      <c r="AI108" s="528">
        <f t="shared" si="83"/>
        <v>6437.663217588939</v>
      </c>
      <c r="AJ108" s="528">
        <f t="shared" si="12"/>
        <v>2126.0802668104952</v>
      </c>
      <c r="AK108" s="528">
        <f t="shared" si="47"/>
        <v>22284.397673583982</v>
      </c>
      <c r="AL108" s="716">
        <f t="shared" si="13"/>
        <v>0</v>
      </c>
      <c r="AM108" s="649">
        <f t="shared" si="48"/>
        <v>0.27817887144532466</v>
      </c>
      <c r="AN108" s="417">
        <f t="shared" si="49"/>
        <v>0.33752788402373018</v>
      </c>
      <c r="AO108" s="417">
        <f t="shared" si="50"/>
        <v>0.28888657041065874</v>
      </c>
      <c r="AP108" s="417">
        <f t="shared" si="51"/>
        <v>9.5406674120286389E-2</v>
      </c>
      <c r="AQ108" s="525">
        <f t="shared" si="52"/>
        <v>1</v>
      </c>
      <c r="AR108" s="1086">
        <f t="shared" si="14"/>
        <v>1099.2047074323918</v>
      </c>
      <c r="AS108" s="938">
        <f t="shared" si="15"/>
        <v>1394.0889441440856</v>
      </c>
      <c r="AT108" s="938">
        <f t="shared" si="16"/>
        <v>479.89447015765791</v>
      </c>
      <c r="AU108" s="938">
        <f t="shared" si="17"/>
        <v>0</v>
      </c>
      <c r="AV108" s="938">
        <f t="shared" si="18"/>
        <v>0</v>
      </c>
      <c r="AW108" s="938">
        <f t="shared" si="19"/>
        <v>0</v>
      </c>
      <c r="AX108" s="938">
        <f t="shared" si="20"/>
        <v>2042.5929956814296</v>
      </c>
      <c r="AY108" s="938">
        <f t="shared" si="21"/>
        <v>295.31237610922261</v>
      </c>
      <c r="AZ108" s="938">
        <f t="shared" si="22"/>
        <v>429.23501428223443</v>
      </c>
      <c r="BA108" s="938">
        <f t="shared" si="23"/>
        <v>377.33165140238538</v>
      </c>
      <c r="BB108" s="938">
        <f t="shared" si="24"/>
        <v>81.388436467001739</v>
      </c>
      <c r="BC108" s="530">
        <f t="shared" si="53"/>
        <v>6199.0485956764096</v>
      </c>
      <c r="BD108" s="724">
        <f t="shared" si="54"/>
        <v>0</v>
      </c>
      <c r="BE108" s="436">
        <f t="shared" si="55"/>
        <v>0.17731829174545324</v>
      </c>
      <c r="BF108" s="624">
        <f t="shared" si="56"/>
        <v>0.2248875650235114</v>
      </c>
      <c r="BG108" s="624">
        <f t="shared" si="57"/>
        <v>7.7414213286271905E-2</v>
      </c>
      <c r="BH108" s="624">
        <f t="shared" si="58"/>
        <v>0</v>
      </c>
      <c r="BI108" s="624">
        <f t="shared" si="59"/>
        <v>0</v>
      </c>
      <c r="BJ108" s="624">
        <f t="shared" si="60"/>
        <v>0</v>
      </c>
      <c r="BK108" s="624">
        <f t="shared" si="61"/>
        <v>0.52037992994476334</v>
      </c>
      <c r="BL108" s="624">
        <f t="shared" si="62"/>
        <v>0.99999999999999989</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85.349301986156263</v>
      </c>
      <c r="BW108" s="114">
        <f t="shared" si="65"/>
        <v>0.48131135883630555</v>
      </c>
      <c r="BX108" s="1695">
        <f t="shared" si="25"/>
        <v>37.99881560662967</v>
      </c>
      <c r="BY108" s="527">
        <f t="shared" si="66"/>
        <v>85.349301986156263</v>
      </c>
      <c r="BZ108" s="417">
        <f t="shared" si="67"/>
        <v>0.48131135883630555</v>
      </c>
      <c r="CA108" s="544">
        <f t="shared" si="26"/>
        <v>37.99881560662967</v>
      </c>
      <c r="CB108" s="649">
        <f t="shared" si="27"/>
        <v>0.1878757999109899</v>
      </c>
      <c r="CC108" s="525">
        <f t="shared" si="68"/>
        <v>0.21173864998899183</v>
      </c>
      <c r="CD108" s="417">
        <f t="shared" si="28"/>
        <v>0.1878757999109899</v>
      </c>
      <c r="CE108" s="525">
        <f t="shared" si="69"/>
        <v>0.21173864998899183</v>
      </c>
      <c r="CG108" s="527">
        <f t="shared" si="70"/>
        <v>1420.0646914802014</v>
      </c>
      <c r="CH108" s="528">
        <f t="shared" si="71"/>
        <v>549.67441487770384</v>
      </c>
      <c r="CI108" s="528">
        <f t="shared" si="72"/>
        <v>2273.8736453304123</v>
      </c>
      <c r="CJ108" s="528">
        <f t="shared" si="73"/>
        <v>3234.2002633596421</v>
      </c>
      <c r="CK108" s="528">
        <f t="shared" si="74"/>
        <v>43.792578460176216</v>
      </c>
      <c r="CL108" s="528">
        <f t="shared" si="75"/>
        <v>7521.6055935081358</v>
      </c>
      <c r="CM108" s="646">
        <f t="shared" si="76"/>
        <v>0</v>
      </c>
    </row>
    <row r="109" spans="1:91">
      <c r="A109" s="873">
        <f>'Input data'!A129</f>
        <v>2029</v>
      </c>
      <c r="B109" s="1553">
        <f>'Input data'!B129</f>
        <v>65.313000000000002</v>
      </c>
      <c r="C109" s="1552">
        <f>'Input data'!C129</f>
        <v>3576.08</v>
      </c>
      <c r="D109" s="1554">
        <f>'Input data'!D129</f>
        <v>37013386.410535313</v>
      </c>
      <c r="E109" s="1456">
        <f t="shared" si="29"/>
        <v>0.81850909090909074</v>
      </c>
      <c r="F109" s="1506">
        <f t="shared" si="30"/>
        <v>0.31783636363636358</v>
      </c>
      <c r="G109" s="1511">
        <f>B109*F109*'Input data'!$C$9</f>
        <v>635.36730573331556</v>
      </c>
      <c r="H109" s="1510">
        <f>'Input data'!I129</f>
        <v>424.26313389388866</v>
      </c>
      <c r="I109" s="1511">
        <f>'Input data'!K129</f>
        <v>27709.898064011551</v>
      </c>
      <c r="J109" s="1511">
        <f t="shared" si="77"/>
        <v>5877.1785838566229</v>
      </c>
      <c r="K109" s="1513">
        <f t="shared" si="78"/>
        <v>7000.122241744617</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3033.4882588631699</v>
      </c>
      <c r="Y109" s="528">
        <f t="shared" si="79"/>
        <v>3033.4882588631699</v>
      </c>
      <c r="Z109" s="528">
        <f t="shared" si="80"/>
        <v>9843.81256673807</v>
      </c>
      <c r="AA109" s="530">
        <f t="shared" si="81"/>
        <v>3966.6339828814471</v>
      </c>
      <c r="AB109" s="1091">
        <f t="shared" si="42"/>
        <v>0.402957081515812</v>
      </c>
      <c r="AC109" s="135" t="str">
        <f t="shared" si="43"/>
        <v>Yes</v>
      </c>
      <c r="AD109" s="1091">
        <f t="shared" si="44"/>
        <v>0.402957081515812</v>
      </c>
      <c r="AE109" s="649">
        <f t="shared" si="11"/>
        <v>0.20894333895056283</v>
      </c>
      <c r="AF109" s="530">
        <f t="shared" si="45"/>
        <v>335.61617810446984</v>
      </c>
      <c r="AG109" s="527">
        <f t="shared" si="46"/>
        <v>5877.1785838566229</v>
      </c>
      <c r="AH109" s="528">
        <f t="shared" si="82"/>
        <v>7595.686593617369</v>
      </c>
      <c r="AI109" s="528">
        <f t="shared" si="83"/>
        <v>6437.663217588939</v>
      </c>
      <c r="AJ109" s="528">
        <f t="shared" si="12"/>
        <v>2009.5710454743091</v>
      </c>
      <c r="AK109" s="528">
        <f t="shared" si="47"/>
        <v>21920.09944053724</v>
      </c>
      <c r="AL109" s="716">
        <f t="shared" si="13"/>
        <v>0</v>
      </c>
      <c r="AM109" s="649">
        <f t="shared" si="48"/>
        <v>0.26811824461835465</v>
      </c>
      <c r="AN109" s="417">
        <f t="shared" si="49"/>
        <v>0.34651697699740025</v>
      </c>
      <c r="AO109" s="417">
        <f t="shared" si="50"/>
        <v>0.29368768308065479</v>
      </c>
      <c r="AP109" s="417">
        <f t="shared" si="51"/>
        <v>9.1677095303590306E-2</v>
      </c>
      <c r="AQ109" s="525">
        <f t="shared" si="52"/>
        <v>1</v>
      </c>
      <c r="AR109" s="1086">
        <f t="shared" si="14"/>
        <v>1046.8323826266076</v>
      </c>
      <c r="AS109" s="938">
        <f t="shared" si="15"/>
        <v>1327.6666676589218</v>
      </c>
      <c r="AT109" s="938">
        <f t="shared" si="16"/>
        <v>453.59624806584162</v>
      </c>
      <c r="AU109" s="938">
        <f t="shared" si="17"/>
        <v>0</v>
      </c>
      <c r="AV109" s="938">
        <f t="shared" si="18"/>
        <v>0</v>
      </c>
      <c r="AW109" s="938">
        <f t="shared" si="19"/>
        <v>0</v>
      </c>
      <c r="AX109" s="938">
        <f t="shared" si="20"/>
        <v>1930.6588776950914</v>
      </c>
      <c r="AY109" s="938">
        <f t="shared" si="21"/>
        <v>279.12925474332957</v>
      </c>
      <c r="AZ109" s="938">
        <f t="shared" si="22"/>
        <v>405.71293091363538</v>
      </c>
      <c r="BA109" s="938">
        <f t="shared" si="23"/>
        <v>356.65387287413586</v>
      </c>
      <c r="BB109" s="938">
        <f t="shared" si="24"/>
        <v>76.928349279058708</v>
      </c>
      <c r="BC109" s="530">
        <f t="shared" si="53"/>
        <v>5877.1785838566229</v>
      </c>
      <c r="BD109" s="724">
        <f t="shared" si="54"/>
        <v>0</v>
      </c>
      <c r="BE109" s="436">
        <f t="shared" si="55"/>
        <v>0.17811818505941551</v>
      </c>
      <c r="BF109" s="624">
        <f t="shared" si="56"/>
        <v>0.22590204614604426</v>
      </c>
      <c r="BG109" s="624">
        <f t="shared" si="57"/>
        <v>7.7179252186036232E-2</v>
      </c>
      <c r="BH109" s="624">
        <f t="shared" si="58"/>
        <v>0</v>
      </c>
      <c r="BI109" s="624">
        <f t="shared" si="59"/>
        <v>0</v>
      </c>
      <c r="BJ109" s="624">
        <f t="shared" si="60"/>
        <v>0</v>
      </c>
      <c r="BK109" s="624">
        <f t="shared" si="61"/>
        <v>0.51880051660850379</v>
      </c>
      <c r="BL109" s="624">
        <f t="shared" si="62"/>
        <v>0.99999999999999978</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83.845790115928594</v>
      </c>
      <c r="BW109" s="114">
        <f t="shared" si="65"/>
        <v>0.49942483873660343</v>
      </c>
      <c r="BX109" s="1695">
        <f t="shared" si="25"/>
        <v>37.013386410535311</v>
      </c>
      <c r="BY109" s="527">
        <f t="shared" si="66"/>
        <v>83.845790115928594</v>
      </c>
      <c r="BZ109" s="417">
        <f t="shared" si="67"/>
        <v>0.49942483873660343</v>
      </c>
      <c r="CA109" s="544">
        <f t="shared" si="26"/>
        <v>37.013386410535311</v>
      </c>
      <c r="CB109" s="649">
        <f t="shared" si="27"/>
        <v>0.20894333895056283</v>
      </c>
      <c r="CC109" s="525">
        <f t="shared" si="68"/>
        <v>0.22588641987410629</v>
      </c>
      <c r="CD109" s="417">
        <f t="shared" si="28"/>
        <v>0.20894333895056283</v>
      </c>
      <c r="CE109" s="525">
        <f t="shared" si="69"/>
        <v>0.22588641987410629</v>
      </c>
      <c r="CG109" s="527">
        <f t="shared" si="70"/>
        <v>1434.0510420348569</v>
      </c>
      <c r="CH109" s="528">
        <f t="shared" si="71"/>
        <v>555.08820982910936</v>
      </c>
      <c r="CI109" s="528">
        <f t="shared" si="72"/>
        <v>2296.2692404827949</v>
      </c>
      <c r="CJ109" s="528">
        <f t="shared" si="73"/>
        <v>3266.0542055910742</v>
      </c>
      <c r="CK109" s="528">
        <f t="shared" si="74"/>
        <v>44.2238956795332</v>
      </c>
      <c r="CL109" s="528">
        <f t="shared" si="75"/>
        <v>7595.686593617369</v>
      </c>
      <c r="CM109" s="646">
        <f t="shared" si="76"/>
        <v>0</v>
      </c>
    </row>
    <row r="110" spans="1:91" s="1" customFormat="1">
      <c r="A110" s="873">
        <f>'Input data'!A130</f>
        <v>2030</v>
      </c>
      <c r="B110" s="1553">
        <f>'Input data'!B130</f>
        <v>65.956000000000003</v>
      </c>
      <c r="C110" s="1552">
        <f>'Input data'!C130</f>
        <v>3660.12</v>
      </c>
      <c r="D110" s="1554">
        <f>'Input data'!D130</f>
        <v>36027957.214440949</v>
      </c>
      <c r="E110" s="1456">
        <f t="shared" si="29"/>
        <v>0.82715151515151497</v>
      </c>
      <c r="F110" s="1506">
        <f t="shared" si="30"/>
        <v>0.32018939393939388</v>
      </c>
      <c r="G110" s="1511">
        <f>B110*F110*'Input data'!$C$9</f>
        <v>646.37254169696007</v>
      </c>
      <c r="H110" s="1510">
        <f>'Input data'!I130</f>
        <v>424.26313389388866</v>
      </c>
      <c r="I110" s="1511">
        <f>'Input data'!K130</f>
        <v>27982.69925910532</v>
      </c>
      <c r="J110" s="1511">
        <f>J97*(1-$C$4)</f>
        <v>5572.0208631102023</v>
      </c>
      <c r="K110" s="1513">
        <f t="shared" si="78"/>
        <v>7432.0557105176422</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3033.4882588631699</v>
      </c>
      <c r="Y110" s="528">
        <f t="shared" si="79"/>
        <v>3033.4882588631699</v>
      </c>
      <c r="Z110" s="528">
        <f t="shared" si="80"/>
        <v>9970.5883147646746</v>
      </c>
      <c r="AA110" s="530">
        <f t="shared" si="81"/>
        <v>4398.5674516544723</v>
      </c>
      <c r="AB110" s="1091">
        <f t="shared" si="42"/>
        <v>0.4411542541718399</v>
      </c>
      <c r="AC110" s="135" t="str">
        <f t="shared" si="43"/>
        <v>Yes</v>
      </c>
      <c r="AD110" s="1091">
        <f t="shared" si="44"/>
        <v>0.4411542541718399</v>
      </c>
      <c r="AE110" s="649">
        <f t="shared" si="11"/>
        <v>0.22882093176043683</v>
      </c>
      <c r="AF110" s="530">
        <f t="shared" si="45"/>
        <v>327.18284828468609</v>
      </c>
      <c r="AG110" s="527">
        <f t="shared" si="46"/>
        <v>5572.0208631102023</v>
      </c>
      <c r="AH110" s="528">
        <f t="shared" si="82"/>
        <v>7670.4653739474097</v>
      </c>
      <c r="AI110" s="528">
        <f t="shared" si="83"/>
        <v>6437.663217588939</v>
      </c>
      <c r="AJ110" s="528">
        <f t="shared" si="12"/>
        <v>1899.522486818204</v>
      </c>
      <c r="AK110" s="528">
        <f t="shared" si="47"/>
        <v>21579.671941464756</v>
      </c>
      <c r="AL110" s="716">
        <f t="shared" si="13"/>
        <v>0</v>
      </c>
      <c r="AM110" s="649">
        <f t="shared" si="48"/>
        <v>0.25820693095911784</v>
      </c>
      <c r="AN110" s="417">
        <f t="shared" si="49"/>
        <v>0.35544865532495967</v>
      </c>
      <c r="AO110" s="417">
        <f t="shared" si="50"/>
        <v>0.29832071752764433</v>
      </c>
      <c r="AP110" s="417">
        <f t="shared" si="51"/>
        <v>8.8023696188278142E-2</v>
      </c>
      <c r="AQ110" s="525">
        <f t="shared" si="52"/>
        <v>1</v>
      </c>
      <c r="AR110" s="1086">
        <f t="shared" si="14"/>
        <v>996.86337124028898</v>
      </c>
      <c r="AS110" s="938">
        <f t="shared" si="15"/>
        <v>1264.2924427739167</v>
      </c>
      <c r="AT110" s="938">
        <f t="shared" si="16"/>
        <v>428.75631348185135</v>
      </c>
      <c r="AU110" s="938">
        <f t="shared" si="17"/>
        <v>0</v>
      </c>
      <c r="AV110" s="938">
        <f t="shared" si="18"/>
        <v>0</v>
      </c>
      <c r="AW110" s="938">
        <f t="shared" si="19"/>
        <v>0</v>
      </c>
      <c r="AX110" s="938">
        <f t="shared" si="20"/>
        <v>1824.9317240194616</v>
      </c>
      <c r="AY110" s="938">
        <f t="shared" si="21"/>
        <v>263.8435188981428</v>
      </c>
      <c r="AZ110" s="938">
        <f t="shared" si="22"/>
        <v>383.49519276710902</v>
      </c>
      <c r="BA110" s="938">
        <f t="shared" si="23"/>
        <v>337.12271733857608</v>
      </c>
      <c r="BB110" s="938">
        <f t="shared" si="24"/>
        <v>72.71558259085451</v>
      </c>
      <c r="BC110" s="530">
        <f t="shared" si="53"/>
        <v>5572.0208631102014</v>
      </c>
      <c r="BD110" s="724">
        <f t="shared" si="54"/>
        <v>0</v>
      </c>
      <c r="BE110" s="436">
        <f t="shared" si="55"/>
        <v>0.17890517565001685</v>
      </c>
      <c r="BF110" s="624">
        <f t="shared" si="56"/>
        <v>0.22690016312469646</v>
      </c>
      <c r="BG110" s="624">
        <f t="shared" si="57"/>
        <v>7.6948081138828922E-2</v>
      </c>
      <c r="BH110" s="624">
        <f t="shared" si="58"/>
        <v>0</v>
      </c>
      <c r="BI110" s="624">
        <f t="shared" si="59"/>
        <v>0</v>
      </c>
      <c r="BJ110" s="624">
        <f t="shared" si="60"/>
        <v>0</v>
      </c>
      <c r="BK110" s="624">
        <f t="shared" si="61"/>
        <v>0.51724658008645763</v>
      </c>
      <c r="BL110" s="624">
        <f t="shared" si="62"/>
        <v>0.99999999999999989</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82.506254433459432</v>
      </c>
      <c r="BW110" s="114">
        <f t="shared" si="65"/>
        <v>0.51771080495467514</v>
      </c>
      <c r="BX110" s="1695">
        <f t="shared" si="25"/>
        <v>36.027957214440953</v>
      </c>
      <c r="BY110" s="527">
        <f t="shared" si="66"/>
        <v>82.506254433459432</v>
      </c>
      <c r="BZ110" s="417">
        <f t="shared" si="67"/>
        <v>0.51771080495467514</v>
      </c>
      <c r="CA110" s="544">
        <f t="shared" si="26"/>
        <v>36.027957214440953</v>
      </c>
      <c r="CB110" s="649">
        <f t="shared" si="27"/>
        <v>0.22882093176043683</v>
      </c>
      <c r="CC110" s="525">
        <f t="shared" si="68"/>
        <v>0.2386108452908049</v>
      </c>
      <c r="CD110" s="417">
        <f t="shared" si="28"/>
        <v>0.22882093176043683</v>
      </c>
      <c r="CE110" s="525">
        <f t="shared" si="69"/>
        <v>0.2386108452908049</v>
      </c>
      <c r="CG110" s="527">
        <f t="shared" si="70"/>
        <v>1448.1691321551762</v>
      </c>
      <c r="CH110" s="528">
        <f t="shared" si="71"/>
        <v>560.55299813955469</v>
      </c>
      <c r="CI110" s="528">
        <f t="shared" si="72"/>
        <v>2318.8757831562357</v>
      </c>
      <c r="CJ110" s="528">
        <f t="shared" si="73"/>
        <v>3298.2081849549841</v>
      </c>
      <c r="CK110" s="528">
        <f t="shared" si="74"/>
        <v>44.65927554145869</v>
      </c>
      <c r="CL110" s="528">
        <f t="shared" si="75"/>
        <v>7670.4653739474097</v>
      </c>
      <c r="CM110" s="646">
        <f t="shared" si="76"/>
        <v>0</v>
      </c>
    </row>
    <row r="111" spans="1:91">
      <c r="A111" s="873">
        <f>'Input data'!A131</f>
        <v>2031</v>
      </c>
      <c r="B111" s="1553">
        <f>'Input data'!B131</f>
        <v>66.519000000000005</v>
      </c>
      <c r="C111" s="1552">
        <f>'Input data'!C131</f>
        <v>3761.03</v>
      </c>
      <c r="D111" s="1554">
        <f>'Input data'!D131</f>
        <v>35846430.699385166</v>
      </c>
      <c r="E111" s="1456">
        <f t="shared" si="29"/>
        <v>0.8357939393939392</v>
      </c>
      <c r="F111" s="1506">
        <f t="shared" si="30"/>
        <v>0.32254242424242419</v>
      </c>
      <c r="G111" s="1511">
        <f>B111*F111*'Input data'!$C$9</f>
        <v>656.68062845237228</v>
      </c>
      <c r="H111" s="1510">
        <f>'Input data'!I131</f>
        <v>424.26313389388866</v>
      </c>
      <c r="I111" s="1511">
        <f>'Input data'!K131</f>
        <v>28221.559403487583</v>
      </c>
      <c r="J111" s="1511">
        <f t="shared" ref="J111:J116" si="87">($J$117-$J$107)/($A$117-$A$107)+J110</f>
        <v>5308.2077070098494</v>
      </c>
      <c r="K111" s="1513">
        <f t="shared" si="78"/>
        <v>7806.8715822307149</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3033.4882588631699</v>
      </c>
      <c r="Y111" s="528">
        <f t="shared" si="79"/>
        <v>3033.4882588631699</v>
      </c>
      <c r="Z111" s="528">
        <f t="shared" si="80"/>
        <v>10081.591030377394</v>
      </c>
      <c r="AA111" s="530">
        <f t="shared" si="81"/>
        <v>4773.383323367545</v>
      </c>
      <c r="AB111" s="1091">
        <f t="shared" si="42"/>
        <v>0.47347519939904348</v>
      </c>
      <c r="AC111" s="135" t="str">
        <f t="shared" si="43"/>
        <v>Yes</v>
      </c>
      <c r="AD111" s="1091">
        <f t="shared" si="44"/>
        <v>0.47347519939904348</v>
      </c>
      <c r="AE111" s="649">
        <f t="shared" si="11"/>
        <v>0.24572732316868784</v>
      </c>
      <c r="AF111" s="530">
        <f t="shared" si="45"/>
        <v>320.01008968298481</v>
      </c>
      <c r="AG111" s="527">
        <f t="shared" si="46"/>
        <v>5308.2077070098494</v>
      </c>
      <c r="AH111" s="528">
        <f t="shared" si="82"/>
        <v>7735.9404179999965</v>
      </c>
      <c r="AI111" s="528">
        <f t="shared" si="83"/>
        <v>6437.663217588939</v>
      </c>
      <c r="AJ111" s="528">
        <f t="shared" si="12"/>
        <v>1804.9398130236837</v>
      </c>
      <c r="AK111" s="528">
        <f t="shared" si="47"/>
        <v>21286.751155622467</v>
      </c>
      <c r="AL111" s="716">
        <f t="shared" si="13"/>
        <v>0</v>
      </c>
      <c r="AM111" s="649">
        <f t="shared" si="48"/>
        <v>0.24936673840938819</v>
      </c>
      <c r="AN111" s="417">
        <f t="shared" si="49"/>
        <v>0.36341573974555075</v>
      </c>
      <c r="AO111" s="417">
        <f t="shared" si="50"/>
        <v>0.30242582207706037</v>
      </c>
      <c r="AP111" s="417">
        <f t="shared" si="51"/>
        <v>8.4791699768000772E-2</v>
      </c>
      <c r="AQ111" s="525">
        <f t="shared" si="52"/>
        <v>1</v>
      </c>
      <c r="AR111" s="1086">
        <f t="shared" si="14"/>
        <v>953.23731967252911</v>
      </c>
      <c r="AS111" s="938">
        <f t="shared" si="15"/>
        <v>1208.9628069417174</v>
      </c>
      <c r="AT111" s="938">
        <f t="shared" si="16"/>
        <v>407.40730665681326</v>
      </c>
      <c r="AU111" s="938">
        <f t="shared" si="17"/>
        <v>0</v>
      </c>
      <c r="AV111" s="938">
        <f t="shared" si="18"/>
        <v>0</v>
      </c>
      <c r="AW111" s="938">
        <f t="shared" si="19"/>
        <v>0</v>
      </c>
      <c r="AX111" s="938">
        <f t="shared" si="20"/>
        <v>1734.0631382838276</v>
      </c>
      <c r="AY111" s="938">
        <f t="shared" si="21"/>
        <v>250.70599320212304</v>
      </c>
      <c r="AZ111" s="938">
        <f t="shared" si="22"/>
        <v>364.39986698340863</v>
      </c>
      <c r="BA111" s="938">
        <f t="shared" si="23"/>
        <v>320.33641013556547</v>
      </c>
      <c r="BB111" s="938">
        <f t="shared" si="24"/>
        <v>69.094865133863678</v>
      </c>
      <c r="BC111" s="530">
        <f t="shared" si="53"/>
        <v>5308.2077070098476</v>
      </c>
      <c r="BD111" s="724">
        <f t="shared" si="54"/>
        <v>0</v>
      </c>
      <c r="BE111" s="436">
        <f t="shared" si="55"/>
        <v>0.17957799925834</v>
      </c>
      <c r="BF111" s="624">
        <f t="shared" si="56"/>
        <v>0.22775348548347124</v>
      </c>
      <c r="BG111" s="624">
        <f t="shared" si="57"/>
        <v>7.6750445563538203E-2</v>
      </c>
      <c r="BH111" s="624">
        <f t="shared" si="58"/>
        <v>0</v>
      </c>
      <c r="BI111" s="624">
        <f t="shared" si="59"/>
        <v>0</v>
      </c>
      <c r="BJ111" s="624">
        <f t="shared" si="60"/>
        <v>0</v>
      </c>
      <c r="BK111" s="624">
        <f t="shared" si="61"/>
        <v>0.5159180696946507</v>
      </c>
      <c r="BL111" s="624">
        <f t="shared" si="62"/>
        <v>1.0000000000000002</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81.494920639413479</v>
      </c>
      <c r="BW111" s="114">
        <f t="shared" si="65"/>
        <v>0.52967577163489288</v>
      </c>
      <c r="BX111" s="1695">
        <f t="shared" si="25"/>
        <v>35.846430699385166</v>
      </c>
      <c r="BY111" s="527">
        <f t="shared" si="66"/>
        <v>81.494920639413479</v>
      </c>
      <c r="BZ111" s="417">
        <f t="shared" si="67"/>
        <v>0.52967577163489288</v>
      </c>
      <c r="CA111" s="544">
        <f t="shared" si="26"/>
        <v>35.846430699385166</v>
      </c>
      <c r="CB111" s="649">
        <f t="shared" si="27"/>
        <v>0.24572732316868784</v>
      </c>
      <c r="CC111" s="525">
        <f t="shared" si="68"/>
        <v>0.25716284790880262</v>
      </c>
      <c r="CD111" s="417">
        <f t="shared" si="28"/>
        <v>0.24572732316868784</v>
      </c>
      <c r="CE111" s="525">
        <f t="shared" si="69"/>
        <v>0.25716284790880262</v>
      </c>
      <c r="CG111" s="527">
        <f t="shared" si="70"/>
        <v>1460.5306947333097</v>
      </c>
      <c r="CH111" s="528">
        <f t="shared" si="71"/>
        <v>565.33787499613436</v>
      </c>
      <c r="CI111" s="528">
        <f t="shared" si="72"/>
        <v>2338.6696922155625</v>
      </c>
      <c r="CJ111" s="528">
        <f t="shared" si="73"/>
        <v>3326.3616692191858</v>
      </c>
      <c r="CK111" s="528">
        <f t="shared" si="74"/>
        <v>45.040486835804039</v>
      </c>
      <c r="CL111" s="528">
        <f t="shared" si="75"/>
        <v>7735.9404179999965</v>
      </c>
      <c r="CM111" s="646">
        <f t="shared" si="76"/>
        <v>0</v>
      </c>
    </row>
    <row r="112" spans="1:91">
      <c r="A112" s="873">
        <f>'Input data'!A132</f>
        <v>2032</v>
      </c>
      <c r="B112" s="1553">
        <f>'Input data'!B132</f>
        <v>67.087000000000003</v>
      </c>
      <c r="C112" s="1552">
        <f>'Input data'!C132</f>
        <v>3857.2</v>
      </c>
      <c r="D112" s="1554">
        <f>'Input data'!D132</f>
        <v>35664904.184329376</v>
      </c>
      <c r="E112" s="1456">
        <f t="shared" si="29"/>
        <v>0.84443636363636343</v>
      </c>
      <c r="F112" s="1506">
        <f t="shared" si="30"/>
        <v>0.32489545454545449</v>
      </c>
      <c r="G112" s="1511">
        <f>B112*F112*'Input data'!$C$9</f>
        <v>667.11952946746214</v>
      </c>
      <c r="H112" s="1510">
        <f>'Input data'!I132</f>
        <v>424.26313389388866</v>
      </c>
      <c r="I112" s="1511">
        <f>'Input data'!K132</f>
        <v>28462.540863539311</v>
      </c>
      <c r="J112" s="1511">
        <f t="shared" si="87"/>
        <v>5044.3945509094965</v>
      </c>
      <c r="K112" s="1513">
        <f t="shared" si="78"/>
        <v>8182.6732684696535</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3033.4882588631699</v>
      </c>
      <c r="Y112" s="528">
        <f t="shared" si="79"/>
        <v>3033.4882588631699</v>
      </c>
      <c r="Z112" s="528">
        <f t="shared" si="80"/>
        <v>10193.57956051598</v>
      </c>
      <c r="AA112" s="530">
        <f t="shared" si="81"/>
        <v>5149.1850096064836</v>
      </c>
      <c r="AB112" s="1091">
        <f t="shared" si="42"/>
        <v>0.50514002260319257</v>
      </c>
      <c r="AC112" s="135" t="str">
        <f t="shared" si="43"/>
        <v>Yes</v>
      </c>
      <c r="AD112" s="1091">
        <f t="shared" si="44"/>
        <v>0.50514002260319257</v>
      </c>
      <c r="AE112" s="649">
        <f t="shared" si="11"/>
        <v>0.26236620302590219</v>
      </c>
      <c r="AF112" s="530">
        <f t="shared" si="45"/>
        <v>312.95082637027912</v>
      </c>
      <c r="AG112" s="527">
        <f t="shared" si="46"/>
        <v>5044.3945509094965</v>
      </c>
      <c r="AH112" s="528">
        <f t="shared" si="82"/>
        <v>7801.9969455699247</v>
      </c>
      <c r="AI112" s="528">
        <f t="shared" si="83"/>
        <v>6437.663217588939</v>
      </c>
      <c r="AJ112" s="528">
        <f t="shared" si="12"/>
        <v>1710.877374634556</v>
      </c>
      <c r="AK112" s="528">
        <f t="shared" si="47"/>
        <v>20994.932088702917</v>
      </c>
      <c r="AL112" s="716">
        <f t="shared" si="13"/>
        <v>0</v>
      </c>
      <c r="AM112" s="649">
        <f t="shared" si="48"/>
        <v>0.24026724780995198</v>
      </c>
      <c r="AN112" s="417">
        <f t="shared" si="49"/>
        <v>0.37161334519238914</v>
      </c>
      <c r="AO112" s="417">
        <f t="shared" si="50"/>
        <v>0.30662938991133754</v>
      </c>
      <c r="AP112" s="417">
        <f t="shared" si="51"/>
        <v>8.1490017086321295E-2</v>
      </c>
      <c r="AQ112" s="525">
        <f t="shared" si="52"/>
        <v>1</v>
      </c>
      <c r="AR112" s="1086">
        <f t="shared" si="14"/>
        <v>909.21150556655289</v>
      </c>
      <c r="AS112" s="938">
        <f t="shared" si="15"/>
        <v>1153.1261640606558</v>
      </c>
      <c r="AT112" s="938">
        <f t="shared" si="16"/>
        <v>386.17572629874616</v>
      </c>
      <c r="AU112" s="938">
        <f t="shared" si="17"/>
        <v>0</v>
      </c>
      <c r="AV112" s="938">
        <f t="shared" si="18"/>
        <v>0</v>
      </c>
      <c r="AW112" s="938">
        <f t="shared" si="19"/>
        <v>0</v>
      </c>
      <c r="AX112" s="938">
        <f t="shared" si="20"/>
        <v>1643.6943592637485</v>
      </c>
      <c r="AY112" s="938">
        <f t="shared" si="21"/>
        <v>237.64072816159262</v>
      </c>
      <c r="AZ112" s="938">
        <f t="shared" si="22"/>
        <v>345.40957168945499</v>
      </c>
      <c r="BA112" s="938">
        <f t="shared" si="23"/>
        <v>303.64243307064959</v>
      </c>
      <c r="BB112" s="938">
        <f t="shared" si="24"/>
        <v>65.49406279809412</v>
      </c>
      <c r="BC112" s="530">
        <f t="shared" si="53"/>
        <v>5044.3945509094956</v>
      </c>
      <c r="BD112" s="724">
        <f t="shared" si="54"/>
        <v>0</v>
      </c>
      <c r="BE112" s="436">
        <f t="shared" si="55"/>
        <v>0.18024194903680238</v>
      </c>
      <c r="BF112" s="624">
        <f t="shared" si="56"/>
        <v>0.22859555342528654</v>
      </c>
      <c r="BG112" s="624">
        <f t="shared" si="57"/>
        <v>7.6555416591891953E-2</v>
      </c>
      <c r="BH112" s="624">
        <f t="shared" si="58"/>
        <v>0</v>
      </c>
      <c r="BI112" s="624">
        <f t="shared" si="59"/>
        <v>0</v>
      </c>
      <c r="BJ112" s="624">
        <f t="shared" si="60"/>
        <v>0</v>
      </c>
      <c r="BK112" s="624">
        <f t="shared" si="61"/>
        <v>0.51460708094601892</v>
      </c>
      <c r="BL112" s="624">
        <f t="shared" si="62"/>
        <v>0.99999999999999978</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80.502420149338775</v>
      </c>
      <c r="BW112" s="114">
        <f t="shared" si="65"/>
        <v>0.5415267169491248</v>
      </c>
      <c r="BX112" s="1695">
        <f t="shared" si="25"/>
        <v>35.664904184329373</v>
      </c>
      <c r="BY112" s="527">
        <f t="shared" si="66"/>
        <v>80.502420149338775</v>
      </c>
      <c r="BZ112" s="417">
        <f t="shared" si="67"/>
        <v>0.5415267169491248</v>
      </c>
      <c r="CA112" s="544">
        <f t="shared" si="26"/>
        <v>35.664904184329373</v>
      </c>
      <c r="CB112" s="649">
        <f t="shared" si="27"/>
        <v>0.26236620302590219</v>
      </c>
      <c r="CC112" s="525">
        <f t="shared" si="68"/>
        <v>0.27452909787877733</v>
      </c>
      <c r="CD112" s="417">
        <f t="shared" si="28"/>
        <v>0.26236620302590219</v>
      </c>
      <c r="CE112" s="525">
        <f t="shared" si="69"/>
        <v>0.27452909787877733</v>
      </c>
      <c r="CG112" s="527">
        <f t="shared" si="70"/>
        <v>1473.0020402828297</v>
      </c>
      <c r="CH112" s="528">
        <f t="shared" si="71"/>
        <v>570.16524631858056</v>
      </c>
      <c r="CI112" s="528">
        <f t="shared" si="72"/>
        <v>2358.6393908757714</v>
      </c>
      <c r="CJ112" s="528">
        <f t="shared" si="73"/>
        <v>3354.7651844271186</v>
      </c>
      <c r="CK112" s="528">
        <f t="shared" si="74"/>
        <v>45.425083665623134</v>
      </c>
      <c r="CL112" s="528">
        <f t="shared" si="75"/>
        <v>7801.9969455699229</v>
      </c>
      <c r="CM112" s="646">
        <f t="shared" si="76"/>
        <v>0</v>
      </c>
    </row>
    <row r="113" spans="1:91">
      <c r="A113" s="873">
        <f>'Input data'!A133</f>
        <v>2033</v>
      </c>
      <c r="B113" s="1553">
        <f>'Input data'!B133</f>
        <v>67.659000000000006</v>
      </c>
      <c r="C113" s="1552">
        <f>'Input data'!C133</f>
        <v>3964.01</v>
      </c>
      <c r="D113" s="1554">
        <f>'Input data'!D133</f>
        <v>35483377.6692736</v>
      </c>
      <c r="E113" s="1456">
        <f t="shared" si="29"/>
        <v>0.85307878787878766</v>
      </c>
      <c r="F113" s="1506">
        <f t="shared" si="30"/>
        <v>0.32724848484848479</v>
      </c>
      <c r="G113" s="1511">
        <f>B113*F113*'Input data'!$C$9</f>
        <v>677.6803089176409</v>
      </c>
      <c r="H113" s="1510">
        <f>'Input data'!I133</f>
        <v>424.26313389388866</v>
      </c>
      <c r="I113" s="1511">
        <f>'Input data'!K133</f>
        <v>28705.219376126617</v>
      </c>
      <c r="J113" s="1511">
        <f t="shared" si="87"/>
        <v>4780.5813948091436</v>
      </c>
      <c r="K113" s="1513">
        <f t="shared" si="78"/>
        <v>8559.2636063292885</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3033.4882588631699</v>
      </c>
      <c r="Y113" s="528">
        <f t="shared" si="79"/>
        <v>3033.4882588631699</v>
      </c>
      <c r="Z113" s="528">
        <f t="shared" si="80"/>
        <v>10306.356742275262</v>
      </c>
      <c r="AA113" s="530">
        <f t="shared" si="81"/>
        <v>5525.7753474661185</v>
      </c>
      <c r="AB113" s="1091">
        <f t="shared" si="42"/>
        <v>0.53615215207912859</v>
      </c>
      <c r="AC113" s="135" t="str">
        <f t="shared" si="43"/>
        <v>Yes</v>
      </c>
      <c r="AD113" s="1091">
        <f t="shared" si="44"/>
        <v>0.53615215207912859</v>
      </c>
      <c r="AE113" s="649">
        <f t="shared" si="11"/>
        <v>0.27873410565375156</v>
      </c>
      <c r="AF113" s="530">
        <f t="shared" si="45"/>
        <v>306.00652870611776</v>
      </c>
      <c r="AG113" s="527">
        <f t="shared" si="46"/>
        <v>4780.5813948091436</v>
      </c>
      <c r="AH113" s="528">
        <f t="shared" si="82"/>
        <v>7868.5186599537255</v>
      </c>
      <c r="AI113" s="528">
        <f t="shared" si="83"/>
        <v>6437.663217588939</v>
      </c>
      <c r="AJ113" s="528">
        <f t="shared" si="12"/>
        <v>1617.3324533754183</v>
      </c>
      <c r="AK113" s="528">
        <f t="shared" si="47"/>
        <v>20704.095725727224</v>
      </c>
      <c r="AL113" s="716">
        <f t="shared" si="13"/>
        <v>0</v>
      </c>
      <c r="AM113" s="649">
        <f t="shared" si="48"/>
        <v>0.23090027490882978</v>
      </c>
      <c r="AN113" s="417">
        <f t="shared" si="49"/>
        <v>0.38004647796214469</v>
      </c>
      <c r="AO113" s="417">
        <f t="shared" si="50"/>
        <v>0.31093670077990421</v>
      </c>
      <c r="AP113" s="417">
        <f t="shared" si="51"/>
        <v>7.8116546349121463E-2</v>
      </c>
      <c r="AQ113" s="525">
        <f t="shared" si="52"/>
        <v>1</v>
      </c>
      <c r="AR113" s="1086">
        <f t="shared" si="14"/>
        <v>864.78801771651683</v>
      </c>
      <c r="AS113" s="938">
        <f t="shared" si="15"/>
        <v>1096.7851632868183</v>
      </c>
      <c r="AT113" s="938">
        <f t="shared" si="16"/>
        <v>365.0609588441103</v>
      </c>
      <c r="AU113" s="938">
        <f t="shared" si="17"/>
        <v>0</v>
      </c>
      <c r="AV113" s="938">
        <f t="shared" si="18"/>
        <v>0</v>
      </c>
      <c r="AW113" s="938">
        <f t="shared" si="19"/>
        <v>0</v>
      </c>
      <c r="AX113" s="938">
        <f t="shared" si="20"/>
        <v>1553.8227754255095</v>
      </c>
      <c r="AY113" s="938">
        <f t="shared" si="21"/>
        <v>224.64734620831931</v>
      </c>
      <c r="AZ113" s="938">
        <f t="shared" si="22"/>
        <v>326.52375809177147</v>
      </c>
      <c r="BA113" s="938">
        <f t="shared" si="23"/>
        <v>287.04030371079756</v>
      </c>
      <c r="BB113" s="938">
        <f t="shared" si="24"/>
        <v>61.913071525299152</v>
      </c>
      <c r="BC113" s="530">
        <f t="shared" si="53"/>
        <v>4780.5813948091418</v>
      </c>
      <c r="BD113" s="724">
        <f t="shared" si="54"/>
        <v>0</v>
      </c>
      <c r="BE113" s="436">
        <f t="shared" si="55"/>
        <v>0.18089599282955882</v>
      </c>
      <c r="BF113" s="624">
        <f t="shared" si="56"/>
        <v>0.22942505789729492</v>
      </c>
      <c r="BG113" s="624">
        <f t="shared" si="57"/>
        <v>7.6363297409913641E-2</v>
      </c>
      <c r="BH113" s="624">
        <f t="shared" si="58"/>
        <v>0</v>
      </c>
      <c r="BI113" s="624">
        <f t="shared" si="59"/>
        <v>0</v>
      </c>
      <c r="BJ113" s="624">
        <f t="shared" si="60"/>
        <v>0</v>
      </c>
      <c r="BK113" s="624">
        <f t="shared" si="61"/>
        <v>0.51331565186323269</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79.605946996228582</v>
      </c>
      <c r="BW113" s="114">
        <f t="shared" si="65"/>
        <v>0.5537026580901574</v>
      </c>
      <c r="BX113" s="1695">
        <f t="shared" si="25"/>
        <v>35.483377669273601</v>
      </c>
      <c r="BY113" s="527">
        <f t="shared" si="66"/>
        <v>79.605946996228582</v>
      </c>
      <c r="BZ113" s="417">
        <f t="shared" si="67"/>
        <v>0.5537026580901574</v>
      </c>
      <c r="CA113" s="544">
        <f t="shared" si="26"/>
        <v>35.483377669273601</v>
      </c>
      <c r="CB113" s="649">
        <f t="shared" si="27"/>
        <v>0.27873410565375156</v>
      </c>
      <c r="CC113" s="525">
        <f t="shared" si="68"/>
        <v>0.29143424820572084</v>
      </c>
      <c r="CD113" s="417">
        <f t="shared" si="28"/>
        <v>0.27873410565375156</v>
      </c>
      <c r="CE113" s="525">
        <f t="shared" si="69"/>
        <v>0.29143424820572084</v>
      </c>
      <c r="CG113" s="527">
        <f t="shared" si="70"/>
        <v>1485.561212209459</v>
      </c>
      <c r="CH113" s="528">
        <f t="shared" si="71"/>
        <v>575.02661321372011</v>
      </c>
      <c r="CI113" s="528">
        <f t="shared" si="72"/>
        <v>2378.7497212166859</v>
      </c>
      <c r="CJ113" s="528">
        <f t="shared" si="73"/>
        <v>3383.3687243900372</v>
      </c>
      <c r="CK113" s="528">
        <f t="shared" si="74"/>
        <v>45.812388923821253</v>
      </c>
      <c r="CL113" s="528">
        <f t="shared" si="75"/>
        <v>7868.5186599537228</v>
      </c>
      <c r="CM113" s="646">
        <f t="shared" si="76"/>
        <v>0</v>
      </c>
    </row>
    <row r="114" spans="1:91">
      <c r="A114" s="873">
        <f>'Input data'!A134</f>
        <v>2034</v>
      </c>
      <c r="B114" s="1553">
        <f>'Input data'!B134</f>
        <v>68.236999999999995</v>
      </c>
      <c r="C114" s="1552">
        <f>'Input data'!C134</f>
        <v>4078.22</v>
      </c>
      <c r="D114" s="1554">
        <f>'Input data'!D134</f>
        <v>35301851.154217809</v>
      </c>
      <c r="E114" s="1456">
        <f t="shared" si="29"/>
        <v>0.86172121212121189</v>
      </c>
      <c r="F114" s="1506">
        <f t="shared" si="30"/>
        <v>0.32960151515151509</v>
      </c>
      <c r="G114" s="1511">
        <f>B114*F114*'Input data'!$C$9</f>
        <v>688.38400730327044</v>
      </c>
      <c r="H114" s="1510">
        <f>'Input data'!I134</f>
        <v>424.26313389388866</v>
      </c>
      <c r="I114" s="1511">
        <f>'Input data'!K134</f>
        <v>28950.443467517278</v>
      </c>
      <c r="J114" s="1511">
        <f t="shared" si="87"/>
        <v>4516.7682387087907</v>
      </c>
      <c r="K114" s="1513">
        <f t="shared" si="78"/>
        <v>8937.0369216199615</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3033.4882588631699</v>
      </c>
      <c r="Y114" s="528">
        <f t="shared" si="79"/>
        <v>3033.4882588631699</v>
      </c>
      <c r="Z114" s="528">
        <f t="shared" si="80"/>
        <v>10420.316901465581</v>
      </c>
      <c r="AA114" s="530">
        <f t="shared" si="81"/>
        <v>5903.5486627567907</v>
      </c>
      <c r="AB114" s="1091">
        <f t="shared" si="42"/>
        <v>0.5665421424876701</v>
      </c>
      <c r="AC114" s="135" t="str">
        <f t="shared" si="43"/>
        <v>Yes</v>
      </c>
      <c r="AD114" s="1091">
        <f t="shared" si="44"/>
        <v>0.5665421424876701</v>
      </c>
      <c r="AE114" s="649">
        <f t="shared" si="11"/>
        <v>0.29484843793873183</v>
      </c>
      <c r="AF114" s="530">
        <f t="shared" si="45"/>
        <v>299.16981159028455</v>
      </c>
      <c r="AG114" s="527">
        <f t="shared" si="46"/>
        <v>4516.7682387087907</v>
      </c>
      <c r="AH114" s="528">
        <f t="shared" si="82"/>
        <v>7935.7381545583312</v>
      </c>
      <c r="AI114" s="528">
        <f t="shared" si="83"/>
        <v>6437.663217588939</v>
      </c>
      <c r="AJ114" s="528">
        <f t="shared" si="12"/>
        <v>1524.2808226301854</v>
      </c>
      <c r="AK114" s="528">
        <f t="shared" si="47"/>
        <v>20414.450433486247</v>
      </c>
      <c r="AL114" s="716">
        <f t="shared" si="13"/>
        <v>0</v>
      </c>
      <c r="AM114" s="649">
        <f t="shared" si="48"/>
        <v>0.22125348186203642</v>
      </c>
      <c r="AN114" s="417">
        <f t="shared" si="49"/>
        <v>0.38873141260472899</v>
      </c>
      <c r="AO114" s="417">
        <f t="shared" si="50"/>
        <v>0.31534834790502647</v>
      </c>
      <c r="AP114" s="417">
        <f t="shared" si="51"/>
        <v>7.4666757628208097E-2</v>
      </c>
      <c r="AQ114" s="525">
        <f t="shared" si="52"/>
        <v>1</v>
      </c>
      <c r="AR114" s="1086">
        <f t="shared" si="14"/>
        <v>819.98547249000785</v>
      </c>
      <c r="AS114" s="938">
        <f t="shared" si="15"/>
        <v>1039.9634152107137</v>
      </c>
      <c r="AT114" s="938">
        <f t="shared" si="16"/>
        <v>344.0575359108924</v>
      </c>
      <c r="AU114" s="938">
        <f t="shared" si="17"/>
        <v>0</v>
      </c>
      <c r="AV114" s="938">
        <f t="shared" si="18"/>
        <v>0</v>
      </c>
      <c r="AW114" s="938">
        <f t="shared" si="19"/>
        <v>0</v>
      </c>
      <c r="AX114" s="938">
        <f t="shared" si="20"/>
        <v>1464.4251114877873</v>
      </c>
      <c r="AY114" s="938">
        <f t="shared" si="21"/>
        <v>211.72248226729951</v>
      </c>
      <c r="AZ114" s="938">
        <f t="shared" si="22"/>
        <v>307.73753507121069</v>
      </c>
      <c r="BA114" s="938">
        <f t="shared" si="23"/>
        <v>270.52572237400869</v>
      </c>
      <c r="BB114" s="938">
        <f t="shared" si="24"/>
        <v>58.350963896869558</v>
      </c>
      <c r="BC114" s="530">
        <f t="shared" si="53"/>
        <v>4516.7682387087907</v>
      </c>
      <c r="BD114" s="724">
        <f t="shared" si="54"/>
        <v>0</v>
      </c>
      <c r="BE114" s="436">
        <f t="shared" si="55"/>
        <v>0.18154251649724168</v>
      </c>
      <c r="BF114" s="624">
        <f t="shared" si="56"/>
        <v>0.23024502481624079</v>
      </c>
      <c r="BG114" s="624">
        <f t="shared" si="57"/>
        <v>7.6173387193594011E-2</v>
      </c>
      <c r="BH114" s="624">
        <f t="shared" si="58"/>
        <v>0</v>
      </c>
      <c r="BI114" s="624">
        <f t="shared" si="59"/>
        <v>0</v>
      </c>
      <c r="BJ114" s="624">
        <f t="shared" si="60"/>
        <v>0</v>
      </c>
      <c r="BK114" s="624">
        <f t="shared" si="61"/>
        <v>0.51203907149292327</v>
      </c>
      <c r="BL114" s="624">
        <f t="shared" si="62"/>
        <v>0.99999999999999978</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78.787691926572478</v>
      </c>
      <c r="BW114" s="114">
        <f t="shared" si="65"/>
        <v>0.5660901418647214</v>
      </c>
      <c r="BX114" s="1695">
        <f t="shared" si="25"/>
        <v>35.301851154217808</v>
      </c>
      <c r="BY114" s="527">
        <f t="shared" si="66"/>
        <v>78.787691926572478</v>
      </c>
      <c r="BZ114" s="417">
        <f t="shared" si="67"/>
        <v>0.5660901418647214</v>
      </c>
      <c r="CA114" s="544">
        <f t="shared" si="26"/>
        <v>35.301851154217808</v>
      </c>
      <c r="CB114" s="649">
        <f t="shared" si="27"/>
        <v>0.29484843793873183</v>
      </c>
      <c r="CC114" s="525">
        <f t="shared" si="68"/>
        <v>0.30771349060468178</v>
      </c>
      <c r="CD114" s="417">
        <f t="shared" si="28"/>
        <v>0.29484843793873183</v>
      </c>
      <c r="CE114" s="525">
        <f t="shared" si="69"/>
        <v>0.30771349060468178</v>
      </c>
      <c r="CG114" s="527">
        <f t="shared" si="70"/>
        <v>1498.252123701752</v>
      </c>
      <c r="CH114" s="528">
        <f t="shared" si="71"/>
        <v>579.93897346789959</v>
      </c>
      <c r="CI114" s="528">
        <f t="shared" si="72"/>
        <v>2399.070999078659</v>
      </c>
      <c r="CJ114" s="528">
        <f t="shared" si="73"/>
        <v>3412.2723014854332</v>
      </c>
      <c r="CK114" s="528">
        <f t="shared" si="74"/>
        <v>46.203756824587849</v>
      </c>
      <c r="CL114" s="528">
        <f t="shared" si="75"/>
        <v>7935.7381545583312</v>
      </c>
      <c r="CM114" s="646">
        <f t="shared" si="76"/>
        <v>0</v>
      </c>
    </row>
    <row r="115" spans="1:91">
      <c r="A115" s="873">
        <f>'Input data'!A135</f>
        <v>2035</v>
      </c>
      <c r="B115" s="1553">
        <f>'Input data'!B135</f>
        <v>68.819000000000003</v>
      </c>
      <c r="C115" s="1552">
        <f>'Input data'!C135</f>
        <v>4200.2899999999991</v>
      </c>
      <c r="D115" s="1554">
        <f>'Input data'!D135</f>
        <v>35120324.639162026</v>
      </c>
      <c r="E115" s="1456">
        <f t="shared" si="29"/>
        <v>0.87036363636363612</v>
      </c>
      <c r="F115" s="1506">
        <f t="shared" si="30"/>
        <v>0.33195454545454539</v>
      </c>
      <c r="G115" s="1511">
        <f>B115*F115*'Input data'!$C$9</f>
        <v>699.21160066565164</v>
      </c>
      <c r="H115" s="1510">
        <f>'Input data'!I135</f>
        <v>424.26313389388866</v>
      </c>
      <c r="I115" s="1511">
        <f>'Input data'!K135</f>
        <v>29197.364611443525</v>
      </c>
      <c r="J115" s="1511">
        <f t="shared" si="87"/>
        <v>4252.9550826084378</v>
      </c>
      <c r="K115" s="1513">
        <f t="shared" si="78"/>
        <v>9315.5988885313327</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3033.4882588631699</v>
      </c>
      <c r="Y115" s="528">
        <f t="shared" si="79"/>
        <v>3033.4882588631699</v>
      </c>
      <c r="Z115" s="528">
        <f t="shared" si="80"/>
        <v>10535.065712276601</v>
      </c>
      <c r="AA115" s="530">
        <f t="shared" si="81"/>
        <v>6282.1106296681628</v>
      </c>
      <c r="AB115" s="1091">
        <f t="shared" si="42"/>
        <v>0.59630483579685378</v>
      </c>
      <c r="AC115" s="135" t="str">
        <f t="shared" si="43"/>
        <v>Yes</v>
      </c>
      <c r="AD115" s="1091">
        <f t="shared" si="44"/>
        <v>0.59630483579685378</v>
      </c>
      <c r="AE115" s="649">
        <f t="shared" si="11"/>
        <v>0.31069916836058864</v>
      </c>
      <c r="AF115" s="530">
        <f t="shared" si="45"/>
        <v>292.44493102700039</v>
      </c>
      <c r="AG115" s="527">
        <f t="shared" si="46"/>
        <v>4252.9550826084378</v>
      </c>
      <c r="AH115" s="528">
        <f t="shared" si="82"/>
        <v>8003.4228359768158</v>
      </c>
      <c r="AI115" s="528">
        <f t="shared" si="83"/>
        <v>6437.663217588939</v>
      </c>
      <c r="AJ115" s="528">
        <f t="shared" si="12"/>
        <v>1431.7265721729464</v>
      </c>
      <c r="AK115" s="528">
        <f t="shared" si="47"/>
        <v>20125.767708347139</v>
      </c>
      <c r="AL115" s="716">
        <f t="shared" si="13"/>
        <v>0</v>
      </c>
      <c r="AM115" s="649">
        <f t="shared" si="48"/>
        <v>0.21131889944474166</v>
      </c>
      <c r="AN115" s="417">
        <f t="shared" si="49"/>
        <v>0.39767043682300901</v>
      </c>
      <c r="AO115" s="417">
        <f t="shared" si="50"/>
        <v>0.31987168444356662</v>
      </c>
      <c r="AP115" s="417">
        <f t="shared" si="51"/>
        <v>7.1138979288682708E-2</v>
      </c>
      <c r="AQ115" s="525">
        <f t="shared" si="52"/>
        <v>1</v>
      </c>
      <c r="AR115" s="1086">
        <f t="shared" si="14"/>
        <v>774.80072719728616</v>
      </c>
      <c r="AS115" s="938">
        <f t="shared" si="15"/>
        <v>982.65693405153945</v>
      </c>
      <c r="AT115" s="938">
        <f t="shared" si="16"/>
        <v>323.16638063449818</v>
      </c>
      <c r="AU115" s="938">
        <f t="shared" si="17"/>
        <v>0</v>
      </c>
      <c r="AV115" s="938">
        <f t="shared" si="18"/>
        <v>0</v>
      </c>
      <c r="AW115" s="938">
        <f t="shared" si="19"/>
        <v>0</v>
      </c>
      <c r="AX115" s="938">
        <f t="shared" si="20"/>
        <v>1375.5052966267467</v>
      </c>
      <c r="AY115" s="938">
        <f t="shared" si="21"/>
        <v>198.86670440782157</v>
      </c>
      <c r="AZ115" s="938">
        <f t="shared" si="22"/>
        <v>289.051728313551</v>
      </c>
      <c r="BA115" s="938">
        <f t="shared" si="23"/>
        <v>254.09941490362721</v>
      </c>
      <c r="BB115" s="938">
        <f t="shared" si="24"/>
        <v>54.807896473366021</v>
      </c>
      <c r="BC115" s="530">
        <f t="shared" si="53"/>
        <v>4252.955082608436</v>
      </c>
      <c r="BD115" s="724">
        <f t="shared" si="54"/>
        <v>0</v>
      </c>
      <c r="BE115" s="436">
        <f t="shared" si="55"/>
        <v>0.18217938166468547</v>
      </c>
      <c r="BF115" s="624">
        <f t="shared" si="56"/>
        <v>0.23105274214390553</v>
      </c>
      <c r="BG115" s="624">
        <f t="shared" si="57"/>
        <v>7.5986314070425762E-2</v>
      </c>
      <c r="BH115" s="624">
        <f t="shared" si="58"/>
        <v>0</v>
      </c>
      <c r="BI115" s="624">
        <f t="shared" si="59"/>
        <v>0</v>
      </c>
      <c r="BJ115" s="624">
        <f t="shared" si="60"/>
        <v>0</v>
      </c>
      <c r="BK115" s="624">
        <f t="shared" si="61"/>
        <v>0.51078156212098325</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78.048412096960703</v>
      </c>
      <c r="BW115" s="114">
        <f t="shared" si="65"/>
        <v>0.57868022807681041</v>
      </c>
      <c r="BX115" s="1695">
        <f t="shared" si="25"/>
        <v>35.120324639162028</v>
      </c>
      <c r="BY115" s="527">
        <f t="shared" si="66"/>
        <v>78.048412096960703</v>
      </c>
      <c r="BZ115" s="417">
        <f t="shared" si="67"/>
        <v>0.57868022807681041</v>
      </c>
      <c r="CA115" s="544">
        <f t="shared" si="26"/>
        <v>35.120324639162028</v>
      </c>
      <c r="CB115" s="649">
        <f t="shared" si="27"/>
        <v>0.31069916836058864</v>
      </c>
      <c r="CC115" s="525">
        <f t="shared" si="68"/>
        <v>0.3233743987850386</v>
      </c>
      <c r="CD115" s="417">
        <f t="shared" si="28"/>
        <v>0.31069916836058864</v>
      </c>
      <c r="CE115" s="525">
        <f t="shared" si="69"/>
        <v>0.3233743987850386</v>
      </c>
      <c r="CG115" s="527">
        <f t="shared" si="70"/>
        <v>1511.0308615711547</v>
      </c>
      <c r="CH115" s="528">
        <f t="shared" si="71"/>
        <v>584.88532929477242</v>
      </c>
      <c r="CI115" s="528">
        <f t="shared" si="72"/>
        <v>2419.5329086213383</v>
      </c>
      <c r="CJ115" s="528">
        <f t="shared" si="73"/>
        <v>3441.3759033358156</v>
      </c>
      <c r="CK115" s="528">
        <f t="shared" si="74"/>
        <v>46.59783315373349</v>
      </c>
      <c r="CL115" s="528">
        <f t="shared" si="75"/>
        <v>8003.422835976814</v>
      </c>
      <c r="CM115" s="646">
        <f t="shared" si="76"/>
        <v>0</v>
      </c>
    </row>
    <row r="116" spans="1:91">
      <c r="A116" s="873">
        <f>'Input data'!A136</f>
        <v>2036</v>
      </c>
      <c r="B116" s="1553">
        <f>'Input data'!B136</f>
        <v>69.322999999999993</v>
      </c>
      <c r="C116" s="1552">
        <f>'Input data'!C136</f>
        <v>4325.9699999999993</v>
      </c>
      <c r="D116" s="1554">
        <f>'Input data'!D136</f>
        <v>32285395.803631678</v>
      </c>
      <c r="E116" s="1456">
        <f t="shared" si="29"/>
        <v>0.87900606060606035</v>
      </c>
      <c r="F116" s="1506">
        <f t="shared" si="30"/>
        <v>0.33430757575757569</v>
      </c>
      <c r="G116" s="1511">
        <f>B116*F116*'Input data'!$C$9</f>
        <v>709.32491506726262</v>
      </c>
      <c r="H116" s="1510">
        <f>'Input data'!I136</f>
        <v>424.26313389388866</v>
      </c>
      <c r="I116" s="1511">
        <f>'Input data'!K136</f>
        <v>29411.193230926041</v>
      </c>
      <c r="J116" s="1511">
        <f t="shared" si="87"/>
        <v>3989.1419265080849</v>
      </c>
      <c r="K116" s="1513">
        <f t="shared" si="78"/>
        <v>9678.7821488391601</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3033.4882588631699</v>
      </c>
      <c r="Y116" s="528">
        <f t="shared" si="79"/>
        <v>3033.4882588631699</v>
      </c>
      <c r="Z116" s="528">
        <f t="shared" si="80"/>
        <v>10634.435816484076</v>
      </c>
      <c r="AA116" s="530">
        <f t="shared" si="81"/>
        <v>6645.2938899759911</v>
      </c>
      <c r="AB116" s="1091">
        <f t="shared" si="42"/>
        <v>0.62488447950152159</v>
      </c>
      <c r="AC116" s="135" t="str">
        <f t="shared" si="43"/>
        <v>Yes</v>
      </c>
      <c r="AD116" s="1091">
        <f t="shared" si="44"/>
        <v>0.62488447950152159</v>
      </c>
      <c r="AE116" s="649">
        <f t="shared" si="11"/>
        <v>0.32580253654030467</v>
      </c>
      <c r="AF116" s="530">
        <f t="shared" si="45"/>
        <v>286.03712871072082</v>
      </c>
      <c r="AG116" s="527">
        <f t="shared" si="46"/>
        <v>3989.1419265080849</v>
      </c>
      <c r="AH116" s="528">
        <f t="shared" si="82"/>
        <v>8062.0363745247778</v>
      </c>
      <c r="AI116" s="528">
        <f t="shared" si="83"/>
        <v>6437.663217588939</v>
      </c>
      <c r="AJ116" s="528">
        <f t="shared" si="12"/>
        <v>1340.1103549915001</v>
      </c>
      <c r="AK116" s="528">
        <f t="shared" si="47"/>
        <v>19828.9518736133</v>
      </c>
      <c r="AL116" s="716">
        <f t="shared" si="13"/>
        <v>0</v>
      </c>
      <c r="AM116" s="649">
        <f t="shared" si="48"/>
        <v>0.20117764932479862</v>
      </c>
      <c r="AN116" s="417">
        <f t="shared" si="49"/>
        <v>0.40657904794519462</v>
      </c>
      <c r="AO116" s="417">
        <f t="shared" si="50"/>
        <v>0.32465978326144607</v>
      </c>
      <c r="AP116" s="417">
        <f t="shared" si="51"/>
        <v>6.7583519468560824E-2</v>
      </c>
      <c r="AQ116" s="525">
        <f t="shared" si="52"/>
        <v>1.0000000000000002</v>
      </c>
      <c r="AR116" s="1086">
        <f t="shared" si="14"/>
        <v>728.89517251832388</v>
      </c>
      <c r="AS116" s="938">
        <f t="shared" si="15"/>
        <v>924.43627158528125</v>
      </c>
      <c r="AT116" s="938">
        <f t="shared" si="16"/>
        <v>302.48695630208749</v>
      </c>
      <c r="AU116" s="938">
        <f t="shared" si="17"/>
        <v>0</v>
      </c>
      <c r="AV116" s="938">
        <f t="shared" si="18"/>
        <v>0</v>
      </c>
      <c r="AW116" s="938">
        <f t="shared" si="19"/>
        <v>0</v>
      </c>
      <c r="AX116" s="938">
        <f t="shared" si="20"/>
        <v>1287.4866801958692</v>
      </c>
      <c r="AY116" s="938">
        <f t="shared" si="21"/>
        <v>186.14121929404479</v>
      </c>
      <c r="AZ116" s="938">
        <f t="shared" si="22"/>
        <v>270.55530138920119</v>
      </c>
      <c r="BA116" s="938">
        <f t="shared" si="23"/>
        <v>237.83958734021371</v>
      </c>
      <c r="BB116" s="938">
        <f t="shared" si="24"/>
        <v>51.300737883062524</v>
      </c>
      <c r="BC116" s="530">
        <f t="shared" si="53"/>
        <v>3989.141926508084</v>
      </c>
      <c r="BD116" s="724">
        <f t="shared" si="54"/>
        <v>0</v>
      </c>
      <c r="BE116" s="436">
        <f t="shared" si="55"/>
        <v>0.18271978935489167</v>
      </c>
      <c r="BF116" s="624">
        <f t="shared" si="56"/>
        <v>0.23173812529515372</v>
      </c>
      <c r="BG116" s="624">
        <f t="shared" si="57"/>
        <v>7.5827574419461932E-2</v>
      </c>
      <c r="BH116" s="624">
        <f t="shared" si="58"/>
        <v>0</v>
      </c>
      <c r="BI116" s="624">
        <f t="shared" si="59"/>
        <v>0</v>
      </c>
      <c r="BJ116" s="624">
        <f t="shared" si="60"/>
        <v>0</v>
      </c>
      <c r="BK116" s="624">
        <f t="shared" si="61"/>
        <v>0.50971451093049269</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76.825237752046746</v>
      </c>
      <c r="BW116" s="114">
        <f t="shared" si="65"/>
        <v>0.58846403021361093</v>
      </c>
      <c r="BX116" s="1695">
        <f t="shared" si="25"/>
        <v>32.28539580363168</v>
      </c>
      <c r="BY116" s="527">
        <f t="shared" si="66"/>
        <v>76.825237752046746</v>
      </c>
      <c r="BZ116" s="417">
        <f t="shared" si="67"/>
        <v>0.58846403021361093</v>
      </c>
      <c r="CA116" s="544">
        <f t="shared" si="26"/>
        <v>32.28539580363168</v>
      </c>
      <c r="CB116" s="649">
        <f t="shared" si="27"/>
        <v>0.32580253654030467</v>
      </c>
      <c r="CC116" s="525">
        <f t="shared" si="68"/>
        <v>0.32373367267609632</v>
      </c>
      <c r="CD116" s="417">
        <f t="shared" si="28"/>
        <v>0.32580253654030467</v>
      </c>
      <c r="CE116" s="525">
        <f t="shared" si="69"/>
        <v>0.32373367267609632</v>
      </c>
      <c r="CG116" s="527">
        <f t="shared" si="70"/>
        <v>1522.0969850869258</v>
      </c>
      <c r="CH116" s="528">
        <f t="shared" si="71"/>
        <v>589.16877145412604</v>
      </c>
      <c r="CI116" s="528">
        <f t="shared" si="72"/>
        <v>2437.2525003902556</v>
      </c>
      <c r="CJ116" s="528">
        <f t="shared" si="73"/>
        <v>3466.5790224639809</v>
      </c>
      <c r="CK116" s="528">
        <f t="shared" si="74"/>
        <v>46.939095129488457</v>
      </c>
      <c r="CL116" s="528">
        <f t="shared" si="75"/>
        <v>8062.036374524776</v>
      </c>
      <c r="CM116" s="646">
        <f t="shared" si="76"/>
        <v>0</v>
      </c>
    </row>
    <row r="117" spans="1:91" s="1" customFormat="1">
      <c r="A117" s="873">
        <f>'Input data'!A137</f>
        <v>2037</v>
      </c>
      <c r="B117" s="1553">
        <f>'Input data'!B137</f>
        <v>69.83</v>
      </c>
      <c r="C117" s="1552">
        <f>'Input data'!C137</f>
        <v>4457.0000000000018</v>
      </c>
      <c r="D117" s="1554">
        <f>'Input data'!D137</f>
        <v>29450466.968101323</v>
      </c>
      <c r="E117" s="1456">
        <f t="shared" si="29"/>
        <v>0.88764848484848458</v>
      </c>
      <c r="F117" s="1506">
        <f t="shared" si="30"/>
        <v>0.33666060606060599</v>
      </c>
      <c r="G117" s="1511">
        <f>B117*F117*'Input data'!$C$9</f>
        <v>719.54173754516603</v>
      </c>
      <c r="H117" s="1510">
        <f>'Input data'!I137</f>
        <v>424.26313389388866</v>
      </c>
      <c r="I117" s="1511">
        <f>'Input data'!K137</f>
        <v>29626.294639810243</v>
      </c>
      <c r="J117" s="1511">
        <f>J97*(1-$C$5)</f>
        <v>3900.4146041771414</v>
      </c>
      <c r="K117" s="1513">
        <f t="shared" si="78"/>
        <v>9867.4710640931044</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3033.4882588631699</v>
      </c>
      <c r="Y117" s="528">
        <f t="shared" si="79"/>
        <v>3033.4882588631699</v>
      </c>
      <c r="Z117" s="528">
        <f t="shared" si="80"/>
        <v>10734.397409407076</v>
      </c>
      <c r="AA117" s="530">
        <f t="shared" si="81"/>
        <v>6833.9828052299345</v>
      </c>
      <c r="AB117" s="1091">
        <f t="shared" si="42"/>
        <v>0.63664335729185706</v>
      </c>
      <c r="AC117" s="135" t="str">
        <f t="shared" si="43"/>
        <v>Yes</v>
      </c>
      <c r="AD117" s="1091">
        <f t="shared" si="44"/>
        <v>0.63664335729185706</v>
      </c>
      <c r="AE117" s="649">
        <f t="shared" si="11"/>
        <v>0.33279972765117138</v>
      </c>
      <c r="AF117" s="530">
        <f t="shared" si="45"/>
        <v>283.06847848157003</v>
      </c>
      <c r="AG117" s="527">
        <f t="shared" si="46"/>
        <v>3900.4146041771414</v>
      </c>
      <c r="AH117" s="528">
        <f t="shared" si="82"/>
        <v>8120.9988031831463</v>
      </c>
      <c r="AI117" s="528">
        <f t="shared" si="83"/>
        <v>6437.663217588939</v>
      </c>
      <c r="AJ117" s="528">
        <f t="shared" si="12"/>
        <v>1307.5952274188107</v>
      </c>
      <c r="AK117" s="528">
        <f t="shared" si="47"/>
        <v>19766.671852368036</v>
      </c>
      <c r="AL117" s="716">
        <f t="shared" si="13"/>
        <v>0</v>
      </c>
      <c r="AM117" s="649">
        <f t="shared" si="48"/>
        <v>0.1973227781241218</v>
      </c>
      <c r="AN117" s="417">
        <f t="shared" si="49"/>
        <v>0.41084300199025436</v>
      </c>
      <c r="AO117" s="417">
        <f t="shared" si="50"/>
        <v>0.32568270802844895</v>
      </c>
      <c r="AP117" s="417">
        <f t="shared" si="51"/>
        <v>6.6151511857174966E-2</v>
      </c>
      <c r="AQ117" s="525">
        <f t="shared" si="52"/>
        <v>1</v>
      </c>
      <c r="AR117" s="1086">
        <f t="shared" si="14"/>
        <v>714.76392153325412</v>
      </c>
      <c r="AS117" s="938">
        <f t="shared" si="15"/>
        <v>906.51402231541783</v>
      </c>
      <c r="AT117" s="938">
        <f t="shared" si="16"/>
        <v>295.14770850312595</v>
      </c>
      <c r="AU117" s="938">
        <f t="shared" si="17"/>
        <v>0</v>
      </c>
      <c r="AV117" s="938">
        <f t="shared" si="18"/>
        <v>0</v>
      </c>
      <c r="AW117" s="938">
        <f t="shared" si="19"/>
        <v>0</v>
      </c>
      <c r="AX117" s="938">
        <f t="shared" si="20"/>
        <v>1256.2483620239507</v>
      </c>
      <c r="AY117" s="938">
        <f t="shared" si="21"/>
        <v>181.62487071921402</v>
      </c>
      <c r="AZ117" s="938">
        <f t="shared" si="22"/>
        <v>263.9908120489236</v>
      </c>
      <c r="BA117" s="938">
        <f t="shared" si="23"/>
        <v>232.06888010300867</v>
      </c>
      <c r="BB117" s="938">
        <f t="shared" si="24"/>
        <v>50.056026930245906</v>
      </c>
      <c r="BC117" s="530">
        <f t="shared" si="53"/>
        <v>3900.414604177141</v>
      </c>
      <c r="BD117" s="724">
        <f t="shared" si="54"/>
        <v>0</v>
      </c>
      <c r="BE117" s="436">
        <f t="shared" si="55"/>
        <v>0.18325331895942015</v>
      </c>
      <c r="BF117" s="624">
        <f t="shared" si="56"/>
        <v>0.23241478517298866</v>
      </c>
      <c r="BG117" s="624">
        <f t="shared" si="57"/>
        <v>7.5670855141152973E-2</v>
      </c>
      <c r="BH117" s="624">
        <f t="shared" si="58"/>
        <v>0</v>
      </c>
      <c r="BI117" s="624">
        <f t="shared" si="59"/>
        <v>0</v>
      </c>
      <c r="BJ117" s="624">
        <f t="shared" si="60"/>
        <v>0</v>
      </c>
      <c r="BK117" s="624">
        <f t="shared" si="61"/>
        <v>0.50866104072643814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75.899155202786105</v>
      </c>
      <c r="BW117" s="114">
        <f t="shared" si="65"/>
        <v>0.59736581721688509</v>
      </c>
      <c r="BX117" s="1695">
        <f t="shared" si="25"/>
        <v>29.450466968101324</v>
      </c>
      <c r="BY117" s="527">
        <f t="shared" si="66"/>
        <v>75.899155202786105</v>
      </c>
      <c r="BZ117" s="417">
        <f t="shared" si="67"/>
        <v>0.59736581721688509</v>
      </c>
      <c r="CA117" s="544">
        <f t="shared" si="26"/>
        <v>29.450466968101324</v>
      </c>
      <c r="CB117" s="649">
        <f t="shared" si="27"/>
        <v>0.33279972765117138</v>
      </c>
      <c r="CC117" s="525">
        <f t="shared" si="68"/>
        <v>0.32387443373420788</v>
      </c>
      <c r="CD117" s="417">
        <f t="shared" si="28"/>
        <v>0.33279972765117138</v>
      </c>
      <c r="CE117" s="525">
        <f t="shared" si="69"/>
        <v>0.32387443373420788</v>
      </c>
      <c r="CG117" s="527">
        <f t="shared" si="70"/>
        <v>1533.2289783855288</v>
      </c>
      <c r="CH117" s="528">
        <f t="shared" si="71"/>
        <v>593.47771029299975</v>
      </c>
      <c r="CI117" s="528">
        <f t="shared" si="72"/>
        <v>2455.0775659197025</v>
      </c>
      <c r="CJ117" s="528">
        <f t="shared" si="73"/>
        <v>3491.9321601583865</v>
      </c>
      <c r="CK117" s="528">
        <f t="shared" si="74"/>
        <v>47.282388426527689</v>
      </c>
      <c r="CL117" s="528">
        <f t="shared" si="75"/>
        <v>8120.9988031831463</v>
      </c>
      <c r="CM117" s="646">
        <f t="shared" si="76"/>
        <v>0</v>
      </c>
    </row>
    <row r="118" spans="1:91">
      <c r="A118" s="873">
        <f>'Input data'!A138</f>
        <v>2038</v>
      </c>
      <c r="B118" s="1553">
        <f>'Input data'!B138</f>
        <v>70.341999999999999</v>
      </c>
      <c r="C118" s="1552">
        <f>'Input data'!C138</f>
        <v>4590.03</v>
      </c>
      <c r="D118" s="1554">
        <f>'Input data'!D138</f>
        <v>26615538.132570967</v>
      </c>
      <c r="E118" s="1456">
        <f t="shared" si="29"/>
        <v>0.89629090909090881</v>
      </c>
      <c r="F118" s="1506">
        <f t="shared" si="30"/>
        <v>0.33901363636363629</v>
      </c>
      <c r="G118" s="1511">
        <f>B118*F118*'Input data'!$C$9</f>
        <v>729.88346869644954</v>
      </c>
      <c r="H118" s="1510">
        <f>'Input data'!I138</f>
        <v>424.26313389388866</v>
      </c>
      <c r="I118" s="1511">
        <f>'Input data'!K138</f>
        <v>29843.517364363917</v>
      </c>
      <c r="J118" s="1511">
        <f t="shared" ref="J118:J126" si="94">($J$127-$J$117)/($A$127-$A$117)+J117</f>
        <v>3733.2539782838353</v>
      </c>
      <c r="K118" s="1513">
        <f t="shared" si="78"/>
        <v>10135.579097435279</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3033.4882588631699</v>
      </c>
      <c r="Y118" s="528">
        <f t="shared" si="79"/>
        <v>3033.4882588631699</v>
      </c>
      <c r="Z118" s="528">
        <f t="shared" si="80"/>
        <v>10835.344816855944</v>
      </c>
      <c r="AA118" s="530">
        <f t="shared" si="81"/>
        <v>7102.0908385721086</v>
      </c>
      <c r="AB118" s="1091">
        <f t="shared" si="42"/>
        <v>0.65545591382784429</v>
      </c>
      <c r="AC118" s="135" t="str">
        <f t="shared" si="43"/>
        <v>Yes</v>
      </c>
      <c r="AD118" s="1091">
        <f t="shared" si="44"/>
        <v>0.65545591382784429</v>
      </c>
      <c r="AE118" s="649">
        <f t="shared" si="11"/>
        <v>0.34322600033669237</v>
      </c>
      <c r="AF118" s="530">
        <f t="shared" si="45"/>
        <v>278.64499535717869</v>
      </c>
      <c r="AG118" s="527">
        <f t="shared" si="46"/>
        <v>3733.2539782838353</v>
      </c>
      <c r="AH118" s="528">
        <f t="shared" si="82"/>
        <v>8180.5427153588562</v>
      </c>
      <c r="AI118" s="528">
        <f t="shared" si="83"/>
        <v>6437.663217588939</v>
      </c>
      <c r="AJ118" s="528">
        <f t="shared" si="12"/>
        <v>1248.9863521830346</v>
      </c>
      <c r="AK118" s="528">
        <f t="shared" si="47"/>
        <v>19600.446263414662</v>
      </c>
      <c r="AL118" s="716">
        <f t="shared" si="13"/>
        <v>0</v>
      </c>
      <c r="AM118" s="649">
        <f t="shared" si="48"/>
        <v>0.19046780507503874</v>
      </c>
      <c r="AN118" s="417">
        <f t="shared" si="49"/>
        <v>0.41736512553942717</v>
      </c>
      <c r="AO118" s="417">
        <f t="shared" si="50"/>
        <v>0.3284447267716144</v>
      </c>
      <c r="AP118" s="417">
        <f t="shared" si="51"/>
        <v>6.3722342613919875E-2</v>
      </c>
      <c r="AQ118" s="525">
        <f t="shared" si="52"/>
        <v>1.0000000000000002</v>
      </c>
      <c r="AR118" s="1086">
        <f t="shared" si="14"/>
        <v>686.10533035928131</v>
      </c>
      <c r="AS118" s="938">
        <f t="shared" si="15"/>
        <v>870.16717550859767</v>
      </c>
      <c r="AT118" s="938">
        <f t="shared" si="16"/>
        <v>281.91863358677614</v>
      </c>
      <c r="AU118" s="938">
        <f t="shared" si="17"/>
        <v>0</v>
      </c>
      <c r="AV118" s="938">
        <f t="shared" si="18"/>
        <v>0</v>
      </c>
      <c r="AW118" s="938">
        <f t="shared" si="19"/>
        <v>0</v>
      </c>
      <c r="AX118" s="938">
        <f t="shared" si="20"/>
        <v>1199.9409497826641</v>
      </c>
      <c r="AY118" s="938">
        <f t="shared" si="21"/>
        <v>173.48410271663477</v>
      </c>
      <c r="AZ118" s="938">
        <f t="shared" si="22"/>
        <v>252.15824777954435</v>
      </c>
      <c r="BA118" s="938">
        <f t="shared" si="23"/>
        <v>221.66711680894062</v>
      </c>
      <c r="BB118" s="938">
        <f t="shared" si="24"/>
        <v>47.812421741395077</v>
      </c>
      <c r="BC118" s="530">
        <f t="shared" si="53"/>
        <v>3733.2539782838339</v>
      </c>
      <c r="BD118" s="724">
        <f t="shared" si="54"/>
        <v>0</v>
      </c>
      <c r="BE118" s="436">
        <f t="shared" si="55"/>
        <v>0.18378211992817106</v>
      </c>
      <c r="BF118" s="624">
        <f t="shared" si="56"/>
        <v>0.23308544786138846</v>
      </c>
      <c r="BG118" s="624">
        <f t="shared" si="57"/>
        <v>7.5515524854907756E-2</v>
      </c>
      <c r="BH118" s="624">
        <f t="shared" si="58"/>
        <v>0</v>
      </c>
      <c r="BI118" s="624">
        <f t="shared" si="59"/>
        <v>0</v>
      </c>
      <c r="BJ118" s="624">
        <f t="shared" si="60"/>
        <v>0</v>
      </c>
      <c r="BK118" s="624">
        <f t="shared" si="61"/>
        <v>0.50761690735553278</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74.913290833715919</v>
      </c>
      <c r="BW118" s="114">
        <f t="shared" si="65"/>
        <v>0.60676770553391246</v>
      </c>
      <c r="BX118" s="1695">
        <f t="shared" si="25"/>
        <v>26.615538132570968</v>
      </c>
      <c r="BY118" s="527">
        <f t="shared" si="66"/>
        <v>74.913290833715919</v>
      </c>
      <c r="BZ118" s="417">
        <f t="shared" si="67"/>
        <v>0.60676770553391246</v>
      </c>
      <c r="CA118" s="544">
        <f t="shared" si="26"/>
        <v>26.615538132570968</v>
      </c>
      <c r="CB118" s="649">
        <f t="shared" si="27"/>
        <v>0.34322600033669237</v>
      </c>
      <c r="CC118" s="525">
        <f t="shared" si="68"/>
        <v>0.32367822267306567</v>
      </c>
      <c r="CD118" s="417">
        <f t="shared" si="28"/>
        <v>0.34322600033669237</v>
      </c>
      <c r="CE118" s="525">
        <f t="shared" si="69"/>
        <v>0.32367822267306567</v>
      </c>
      <c r="CG118" s="527">
        <f t="shared" si="70"/>
        <v>1544.4707546555189</v>
      </c>
      <c r="CH118" s="528">
        <f t="shared" si="71"/>
        <v>597.82914359774009</v>
      </c>
      <c r="CI118" s="528">
        <f t="shared" si="72"/>
        <v>2473.0784210500319</v>
      </c>
      <c r="CJ118" s="528">
        <f t="shared" si="73"/>
        <v>3517.5353287965236</v>
      </c>
      <c r="CK118" s="528">
        <f t="shared" si="74"/>
        <v>47.629067259040688</v>
      </c>
      <c r="CL118" s="528">
        <f t="shared" si="75"/>
        <v>8180.5427153588544</v>
      </c>
      <c r="CM118" s="646">
        <f t="shared" si="76"/>
        <v>0</v>
      </c>
    </row>
    <row r="119" spans="1:91">
      <c r="A119" s="873">
        <f>'Input data'!A139</f>
        <v>2039</v>
      </c>
      <c r="B119" s="1553">
        <f>'Input data'!B139</f>
        <v>70.856999999999999</v>
      </c>
      <c r="C119" s="1552">
        <f>'Input data'!C139</f>
        <v>4728.5300000000007</v>
      </c>
      <c r="D119" s="1554">
        <f>'Input data'!D139</f>
        <v>23780609.297040608</v>
      </c>
      <c r="E119" s="1456">
        <f t="shared" si="29"/>
        <v>0.90493333333333303</v>
      </c>
      <c r="F119" s="1506">
        <f t="shared" si="30"/>
        <v>0.3413666666666666</v>
      </c>
      <c r="G119" s="1511">
        <f>B119*F119*'Input data'!$C$9</f>
        <v>740.33029234961748</v>
      </c>
      <c r="H119" s="1510">
        <f>'Input data'!I139</f>
        <v>424.26313389388866</v>
      </c>
      <c r="I119" s="1511">
        <f>'Input data'!K139</f>
        <v>30062.01287831927</v>
      </c>
      <c r="J119" s="1511">
        <f t="shared" si="94"/>
        <v>3566.0933523905292</v>
      </c>
      <c r="K119" s="1513">
        <f t="shared" si="78"/>
        <v>10404.278619492972</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3033.4882588631699</v>
      </c>
      <c r="Y119" s="528">
        <f t="shared" si="79"/>
        <v>3033.4882588631699</v>
      </c>
      <c r="Z119" s="528">
        <f t="shared" si="80"/>
        <v>10936.883713020332</v>
      </c>
      <c r="AA119" s="530">
        <f t="shared" si="81"/>
        <v>7370.7903606298023</v>
      </c>
      <c r="AB119" s="1091">
        <f t="shared" si="42"/>
        <v>0.67393880688837304</v>
      </c>
      <c r="AC119" s="135" t="str">
        <f t="shared" si="43"/>
        <v>Yes</v>
      </c>
      <c r="AD119" s="1091">
        <f t="shared" si="44"/>
        <v>0.67393880688837304</v>
      </c>
      <c r="AE119" s="649">
        <f t="shared" si="11"/>
        <v>0.35350866119562807</v>
      </c>
      <c r="AF119" s="530">
        <f t="shared" si="45"/>
        <v>274.28244143639859</v>
      </c>
      <c r="AG119" s="527">
        <f t="shared" si="46"/>
        <v>3566.0933523905292</v>
      </c>
      <c r="AH119" s="528">
        <f t="shared" si="82"/>
        <v>8240.4355176449699</v>
      </c>
      <c r="AI119" s="528">
        <f t="shared" si="83"/>
        <v>6437.663217588939</v>
      </c>
      <c r="AJ119" s="528">
        <f t="shared" si="12"/>
        <v>1190.6388652344556</v>
      </c>
      <c r="AK119" s="528">
        <f t="shared" si="47"/>
        <v>19434.830952858894</v>
      </c>
      <c r="AL119" s="716">
        <f t="shared" si="13"/>
        <v>0</v>
      </c>
      <c r="AM119" s="649">
        <f t="shared" si="48"/>
        <v>0.18348980554759861</v>
      </c>
      <c r="AN119" s="417">
        <f t="shared" si="49"/>
        <v>0.4240034573819017</v>
      </c>
      <c r="AO119" s="417">
        <f t="shared" si="50"/>
        <v>0.33124359214670446</v>
      </c>
      <c r="AP119" s="417">
        <f t="shared" si="51"/>
        <v>6.1263144923795219E-2</v>
      </c>
      <c r="AQ119" s="525">
        <f t="shared" si="52"/>
        <v>1</v>
      </c>
      <c r="AR119" s="1086">
        <f t="shared" si="14"/>
        <v>657.24588156572622</v>
      </c>
      <c r="AS119" s="938">
        <f t="shared" si="15"/>
        <v>833.56558690080669</v>
      </c>
      <c r="AT119" s="938">
        <f t="shared" si="16"/>
        <v>268.74855869763513</v>
      </c>
      <c r="AU119" s="938">
        <f t="shared" si="17"/>
        <v>0</v>
      </c>
      <c r="AV119" s="938">
        <f t="shared" si="18"/>
        <v>0</v>
      </c>
      <c r="AW119" s="938">
        <f t="shared" si="19"/>
        <v>0</v>
      </c>
      <c r="AX119" s="938">
        <f t="shared" si="20"/>
        <v>1143.8846615901339</v>
      </c>
      <c r="AY119" s="938">
        <f t="shared" si="21"/>
        <v>165.37964152588401</v>
      </c>
      <c r="AZ119" s="938">
        <f t="shared" si="22"/>
        <v>240.37845527374336</v>
      </c>
      <c r="BA119" s="938">
        <f t="shared" si="23"/>
        <v>211.31174408422464</v>
      </c>
      <c r="BB119" s="938">
        <f t="shared" si="24"/>
        <v>45.578822752374919</v>
      </c>
      <c r="BC119" s="530">
        <f t="shared" si="53"/>
        <v>3566.0933523905287</v>
      </c>
      <c r="BD119" s="724">
        <f t="shared" si="54"/>
        <v>0</v>
      </c>
      <c r="BE119" s="436">
        <f t="shared" si="55"/>
        <v>0.18430417171360414</v>
      </c>
      <c r="BF119" s="624">
        <f t="shared" si="56"/>
        <v>0.23374755075944001</v>
      </c>
      <c r="BG119" s="624">
        <f t="shared" si="57"/>
        <v>7.5362177077467618E-2</v>
      </c>
      <c r="BH119" s="624">
        <f t="shared" si="58"/>
        <v>0</v>
      </c>
      <c r="BI119" s="624">
        <f t="shared" si="59"/>
        <v>0</v>
      </c>
      <c r="BJ119" s="624">
        <f t="shared" si="60"/>
        <v>0</v>
      </c>
      <c r="BK119" s="624">
        <f t="shared" si="61"/>
        <v>0.50658610044948826</v>
      </c>
      <c r="BL119" s="624">
        <f t="shared" si="62"/>
        <v>1</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73.988787336966865</v>
      </c>
      <c r="BW119" s="114">
        <f t="shared" si="65"/>
        <v>0.61629609956486708</v>
      </c>
      <c r="BX119" s="1695">
        <f t="shared" si="25"/>
        <v>23.780609297040609</v>
      </c>
      <c r="BY119" s="527">
        <f t="shared" si="66"/>
        <v>73.988787336966865</v>
      </c>
      <c r="BZ119" s="417">
        <f t="shared" si="67"/>
        <v>0.61629609956486708</v>
      </c>
      <c r="CA119" s="544">
        <f t="shared" si="26"/>
        <v>23.780609297040609</v>
      </c>
      <c r="CB119" s="649">
        <f t="shared" si="27"/>
        <v>0.35350866119562807</v>
      </c>
      <c r="CC119" s="525">
        <f t="shared" si="68"/>
        <v>0.32327414213878525</v>
      </c>
      <c r="CD119" s="417">
        <f t="shared" si="28"/>
        <v>0.35350866119562807</v>
      </c>
      <c r="CE119" s="525">
        <f t="shared" si="69"/>
        <v>0.32327414213878525</v>
      </c>
      <c r="CG119" s="527">
        <f t="shared" si="70"/>
        <v>1555.7784007083408</v>
      </c>
      <c r="CH119" s="528">
        <f t="shared" si="71"/>
        <v>602.2060735820005</v>
      </c>
      <c r="CI119" s="528">
        <f t="shared" si="72"/>
        <v>2491.1847499408905</v>
      </c>
      <c r="CJ119" s="528">
        <f t="shared" si="73"/>
        <v>3543.2885160008991</v>
      </c>
      <c r="CK119" s="528">
        <f t="shared" si="74"/>
        <v>47.977777412837938</v>
      </c>
      <c r="CL119" s="528">
        <f t="shared" si="75"/>
        <v>8240.4355176449681</v>
      </c>
      <c r="CM119" s="646">
        <f t="shared" si="76"/>
        <v>0</v>
      </c>
    </row>
    <row r="120" spans="1:91">
      <c r="A120" s="873">
        <f>'Input data'!A140</f>
        <v>2040</v>
      </c>
      <c r="B120" s="1553">
        <f>'Input data'!B140</f>
        <v>71.375</v>
      </c>
      <c r="C120" s="1552">
        <f>'Input data'!C140</f>
        <v>4875.51</v>
      </c>
      <c r="D120" s="1554">
        <f>'Input data'!D140</f>
        <v>20945680.461510252</v>
      </c>
      <c r="E120" s="1456">
        <f t="shared" si="29"/>
        <v>0.91357575757575726</v>
      </c>
      <c r="F120" s="1506">
        <f t="shared" si="30"/>
        <v>0.3437196969696969</v>
      </c>
      <c r="G120" s="1511">
        <f>B120*F120*'Input data'!$C$9</f>
        <v>750.88285667877574</v>
      </c>
      <c r="H120" s="1510">
        <f>'Input data'!I140</f>
        <v>424.26313389388866</v>
      </c>
      <c r="I120" s="1511">
        <f>'Input data'!K140</f>
        <v>30281.781181676302</v>
      </c>
      <c r="J120" s="1511">
        <f t="shared" si="94"/>
        <v>3398.932726497223</v>
      </c>
      <c r="K120" s="1513">
        <f t="shared" si="78"/>
        <v>10673.569630266185</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3033.4882588631699</v>
      </c>
      <c r="Y120" s="528">
        <f t="shared" si="79"/>
        <v>3033.4882588631699</v>
      </c>
      <c r="Z120" s="528">
        <f t="shared" si="80"/>
        <v>11039.014097900239</v>
      </c>
      <c r="AA120" s="530">
        <f t="shared" si="81"/>
        <v>7640.0813714030155</v>
      </c>
      <c r="AB120" s="1091">
        <f t="shared" si="42"/>
        <v>0.69209816235819976</v>
      </c>
      <c r="AC120" s="135" t="str">
        <f t="shared" si="43"/>
        <v>Yes</v>
      </c>
      <c r="AD120" s="1091">
        <f t="shared" si="44"/>
        <v>0.69209816235819976</v>
      </c>
      <c r="AE120" s="649">
        <f t="shared" si="11"/>
        <v>0.36364968269495412</v>
      </c>
      <c r="AF120" s="530">
        <f t="shared" si="45"/>
        <v>269.97997987420922</v>
      </c>
      <c r="AG120" s="527">
        <f t="shared" si="46"/>
        <v>3398.932726497223</v>
      </c>
      <c r="AH120" s="528">
        <f t="shared" si="82"/>
        <v>8300.6772100414873</v>
      </c>
      <c r="AI120" s="528">
        <f t="shared" si="83"/>
        <v>6437.663217588939</v>
      </c>
      <c r="AJ120" s="528">
        <f t="shared" si="12"/>
        <v>1132.547909394031</v>
      </c>
      <c r="AK120" s="528">
        <f t="shared" si="47"/>
        <v>19269.821063521682</v>
      </c>
      <c r="AL120" s="716">
        <f t="shared" si="13"/>
        <v>0</v>
      </c>
      <c r="AM120" s="649">
        <f t="shared" si="48"/>
        <v>0.17638631491661846</v>
      </c>
      <c r="AN120" s="417">
        <f t="shared" si="49"/>
        <v>0.43076047165559334</v>
      </c>
      <c r="AO120" s="417">
        <f t="shared" si="50"/>
        <v>0.33408007248057003</v>
      </c>
      <c r="AP120" s="417">
        <f t="shared" si="51"/>
        <v>5.8773140947218049E-2</v>
      </c>
      <c r="AQ120" s="525">
        <f t="shared" si="52"/>
        <v>0.99999999999999989</v>
      </c>
      <c r="AR120" s="1086">
        <f t="shared" si="14"/>
        <v>628.18930753643281</v>
      </c>
      <c r="AS120" s="938">
        <f t="shared" si="15"/>
        <v>796.71399016450607</v>
      </c>
      <c r="AT120" s="938">
        <f t="shared" si="16"/>
        <v>255.63638748322759</v>
      </c>
      <c r="AU120" s="938">
        <f t="shared" si="17"/>
        <v>0</v>
      </c>
      <c r="AV120" s="938">
        <f t="shared" si="18"/>
        <v>0</v>
      </c>
      <c r="AW120" s="938">
        <f t="shared" si="19"/>
        <v>0</v>
      </c>
      <c r="AX120" s="938">
        <f t="shared" si="20"/>
        <v>1088.0748309998257</v>
      </c>
      <c r="AY120" s="938">
        <f t="shared" si="21"/>
        <v>157.3108124851878</v>
      </c>
      <c r="AZ120" s="938">
        <f t="shared" si="22"/>
        <v>228.65045391411459</v>
      </c>
      <c r="BA120" s="938">
        <f t="shared" si="23"/>
        <v>201.0018998883167</v>
      </c>
      <c r="BB120" s="938">
        <f t="shared" si="24"/>
        <v>43.355044025610965</v>
      </c>
      <c r="BC120" s="530">
        <f t="shared" si="53"/>
        <v>3398.9327264972221</v>
      </c>
      <c r="BD120" s="724">
        <f t="shared" si="54"/>
        <v>0</v>
      </c>
      <c r="BE120" s="436">
        <f t="shared" si="55"/>
        <v>0.1848195766392278</v>
      </c>
      <c r="BF120" s="624">
        <f t="shared" si="56"/>
        <v>0.23440122364103438</v>
      </c>
      <c r="BG120" s="624">
        <f t="shared" si="57"/>
        <v>7.5210781752269112E-2</v>
      </c>
      <c r="BH120" s="624">
        <f t="shared" si="58"/>
        <v>0</v>
      </c>
      <c r="BI120" s="624">
        <f t="shared" si="59"/>
        <v>0</v>
      </c>
      <c r="BJ120" s="624">
        <f t="shared" si="60"/>
        <v>0</v>
      </c>
      <c r="BK120" s="624">
        <f t="shared" si="61"/>
        <v>0.50556841796746887</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73.13991196203331</v>
      </c>
      <c r="BW120" s="114">
        <f t="shared" si="65"/>
        <v>0.6260204597681035</v>
      </c>
      <c r="BX120" s="1695">
        <f t="shared" si="25"/>
        <v>20.945680461510253</v>
      </c>
      <c r="BY120" s="527">
        <f t="shared" si="66"/>
        <v>73.13991196203331</v>
      </c>
      <c r="BZ120" s="417">
        <f t="shared" si="67"/>
        <v>0.6260204597681035</v>
      </c>
      <c r="CA120" s="544">
        <f t="shared" si="26"/>
        <v>20.945680461510253</v>
      </c>
      <c r="CB120" s="649">
        <f t="shared" si="27"/>
        <v>0.36364968269495412</v>
      </c>
      <c r="CC120" s="525">
        <f t="shared" si="68"/>
        <v>0.32278265980265231</v>
      </c>
      <c r="CD120" s="417">
        <f t="shared" si="28"/>
        <v>0.36364968269495412</v>
      </c>
      <c r="CE120" s="525">
        <f t="shared" si="69"/>
        <v>0.32278265980265231</v>
      </c>
      <c r="CG120" s="527">
        <f t="shared" si="70"/>
        <v>1567.1519165439943</v>
      </c>
      <c r="CH120" s="528">
        <f t="shared" si="71"/>
        <v>606.60850024578065</v>
      </c>
      <c r="CI120" s="528">
        <f t="shared" si="72"/>
        <v>2509.3965525922781</v>
      </c>
      <c r="CJ120" s="528">
        <f t="shared" si="73"/>
        <v>3569.1917217715145</v>
      </c>
      <c r="CK120" s="528">
        <f t="shared" si="74"/>
        <v>48.328518887919429</v>
      </c>
      <c r="CL120" s="528">
        <f t="shared" si="75"/>
        <v>8300.6772100414873</v>
      </c>
      <c r="CM120" s="646">
        <f t="shared" si="76"/>
        <v>0</v>
      </c>
    </row>
    <row r="121" spans="1:91">
      <c r="A121" s="873">
        <f>'Input data'!A141</f>
        <v>2041</v>
      </c>
      <c r="B121" s="1553">
        <f>'Input data'!B141</f>
        <v>71.819000000000003</v>
      </c>
      <c r="C121" s="1552">
        <f>'Input data'!C141</f>
        <v>5028.54</v>
      </c>
      <c r="D121" s="1554">
        <f>'Input data'!D141</f>
        <v>19664699.523913871</v>
      </c>
      <c r="E121" s="1456">
        <f t="shared" si="29"/>
        <v>0.92221818181818149</v>
      </c>
      <c r="F121" s="1506">
        <f t="shared" si="30"/>
        <v>0.3460727272727272</v>
      </c>
      <c r="G121" s="1511">
        <f>B121*F121*'Input data'!$C$9</f>
        <v>760.7262051045102</v>
      </c>
      <c r="H121" s="1510">
        <f>'Input data'!I141</f>
        <v>424.26313389388866</v>
      </c>
      <c r="I121" s="1511">
        <f>'Input data'!K141</f>
        <v>30470.15401312519</v>
      </c>
      <c r="J121" s="1511">
        <f t="shared" si="94"/>
        <v>3231.7721006039169</v>
      </c>
      <c r="K121" s="1513">
        <f t="shared" si="78"/>
        <v>10928.270586056555</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3033.4882588631699</v>
      </c>
      <c r="Y121" s="528">
        <f t="shared" si="79"/>
        <v>3033.4882588631699</v>
      </c>
      <c r="Z121" s="528">
        <f t="shared" si="80"/>
        <v>11126.554427797302</v>
      </c>
      <c r="AA121" s="530">
        <f t="shared" si="81"/>
        <v>7894.7823271933848</v>
      </c>
      <c r="AB121" s="1091">
        <f t="shared" si="42"/>
        <v>0.70954421500603726</v>
      </c>
      <c r="AC121" s="135" t="str">
        <f t="shared" si="43"/>
        <v>Yes</v>
      </c>
      <c r="AD121" s="1091">
        <f t="shared" si="44"/>
        <v>0.70954421500603726</v>
      </c>
      <c r="AE121" s="649">
        <f t="shared" si="11"/>
        <v>0.37326306970302392</v>
      </c>
      <c r="AF121" s="530">
        <f t="shared" si="45"/>
        <v>265.90137417483072</v>
      </c>
      <c r="AG121" s="527">
        <f t="shared" si="46"/>
        <v>3231.7721006039169</v>
      </c>
      <c r="AH121" s="528">
        <f t="shared" si="82"/>
        <v>8352.3129463813602</v>
      </c>
      <c r="AI121" s="528">
        <f t="shared" si="83"/>
        <v>6437.663217588939</v>
      </c>
      <c r="AJ121" s="528">
        <f t="shared" si="12"/>
        <v>1075.0225272879522</v>
      </c>
      <c r="AK121" s="528">
        <f t="shared" si="47"/>
        <v>19096.770791862167</v>
      </c>
      <c r="AL121" s="716">
        <f t="shared" si="13"/>
        <v>0</v>
      </c>
      <c r="AM121" s="649">
        <f t="shared" si="48"/>
        <v>0.16923133946714664</v>
      </c>
      <c r="AN121" s="417">
        <f t="shared" si="49"/>
        <v>0.4373678166541427</v>
      </c>
      <c r="AO121" s="417">
        <f t="shared" si="50"/>
        <v>0.33710742448311015</v>
      </c>
      <c r="AP121" s="417">
        <f t="shared" si="51"/>
        <v>5.629341939560057E-2</v>
      </c>
      <c r="AQ121" s="525">
        <f t="shared" si="52"/>
        <v>1</v>
      </c>
      <c r="AR121" s="1086">
        <f t="shared" si="14"/>
        <v>598.69813180712697</v>
      </c>
      <c r="AS121" s="938">
        <f t="shared" si="15"/>
        <v>759.31120089691717</v>
      </c>
      <c r="AT121" s="938">
        <f t="shared" si="16"/>
        <v>242.65187641026247</v>
      </c>
      <c r="AU121" s="938">
        <f t="shared" si="17"/>
        <v>0</v>
      </c>
      <c r="AV121" s="938">
        <f t="shared" si="18"/>
        <v>0</v>
      </c>
      <c r="AW121" s="938">
        <f t="shared" si="19"/>
        <v>0</v>
      </c>
      <c r="AX121" s="938">
        <f t="shared" si="20"/>
        <v>1032.808365101035</v>
      </c>
      <c r="AY121" s="938">
        <f t="shared" si="21"/>
        <v>149.32054159018432</v>
      </c>
      <c r="AZ121" s="938">
        <f t="shared" si="22"/>
        <v>217.03663641373586</v>
      </c>
      <c r="BA121" s="938">
        <f t="shared" si="23"/>
        <v>190.79243236891631</v>
      </c>
      <c r="BB121" s="938">
        <f t="shared" si="24"/>
        <v>41.152916015738462</v>
      </c>
      <c r="BC121" s="530">
        <f t="shared" si="53"/>
        <v>3231.7721006039164</v>
      </c>
      <c r="BD121" s="724">
        <f t="shared" si="54"/>
        <v>0</v>
      </c>
      <c r="BE121" s="436">
        <f t="shared" si="55"/>
        <v>0.18525382148550917</v>
      </c>
      <c r="BF121" s="624">
        <f t="shared" si="56"/>
        <v>0.23495196358524967</v>
      </c>
      <c r="BG121" s="624">
        <f t="shared" si="57"/>
        <v>7.5083226433237199E-2</v>
      </c>
      <c r="BH121" s="624">
        <f t="shared" si="58"/>
        <v>0</v>
      </c>
      <c r="BI121" s="624">
        <f t="shared" si="59"/>
        <v>0</v>
      </c>
      <c r="BJ121" s="624">
        <f t="shared" si="60"/>
        <v>0</v>
      </c>
      <c r="BK121" s="624">
        <f t="shared" si="61"/>
        <v>0.50471098849600393</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72.190892599144334</v>
      </c>
      <c r="BW121" s="114">
        <f t="shared" si="65"/>
        <v>0.64147845603781961</v>
      </c>
      <c r="BX121" s="1695">
        <f t="shared" si="25"/>
        <v>19.664699523913871</v>
      </c>
      <c r="BY121" s="527">
        <f t="shared" si="66"/>
        <v>72.190892599144334</v>
      </c>
      <c r="BZ121" s="417">
        <f t="shared" si="67"/>
        <v>0.64147845603781961</v>
      </c>
      <c r="CA121" s="544">
        <f t="shared" si="26"/>
        <v>19.664699523913871</v>
      </c>
      <c r="CB121" s="649">
        <f t="shared" si="27"/>
        <v>0.37326306970302392</v>
      </c>
      <c r="CC121" s="525">
        <f t="shared" si="68"/>
        <v>0.33718993558856425</v>
      </c>
      <c r="CD121" s="417">
        <f t="shared" si="28"/>
        <v>0.37326306970302392</v>
      </c>
      <c r="CE121" s="525">
        <f t="shared" si="69"/>
        <v>0.33718993558856425</v>
      </c>
      <c r="CG121" s="527">
        <f t="shared" si="70"/>
        <v>1576.9006444031263</v>
      </c>
      <c r="CH121" s="528">
        <f t="shared" si="71"/>
        <v>610.38200881473517</v>
      </c>
      <c r="CI121" s="528">
        <f t="shared" si="72"/>
        <v>2525.0066691506104</v>
      </c>
      <c r="CJ121" s="528">
        <f t="shared" si="73"/>
        <v>3591.3944695748987</v>
      </c>
      <c r="CK121" s="528">
        <f t="shared" si="74"/>
        <v>48.629154437989293</v>
      </c>
      <c r="CL121" s="528">
        <f t="shared" si="75"/>
        <v>8352.3129463813602</v>
      </c>
      <c r="CM121" s="646">
        <f t="shared" si="76"/>
        <v>0</v>
      </c>
    </row>
    <row r="122" spans="1:91">
      <c r="A122" s="873">
        <f>'Input data'!A142</f>
        <v>2042</v>
      </c>
      <c r="B122" s="1553">
        <f>'Input data'!B142</f>
        <v>72.265000000000001</v>
      </c>
      <c r="C122" s="1552">
        <f>'Input data'!C142</f>
        <v>5188.1000000000004</v>
      </c>
      <c r="D122" s="1554">
        <f>'Input data'!D142</f>
        <v>18383718.586317491</v>
      </c>
      <c r="E122" s="1456">
        <f t="shared" si="29"/>
        <v>0.93086060606060572</v>
      </c>
      <c r="F122" s="1506">
        <f t="shared" si="30"/>
        <v>0.3484257575757575</v>
      </c>
      <c r="G122" s="1511">
        <f>B122*F122*'Input data'!$C$9</f>
        <v>770.65483528643074</v>
      </c>
      <c r="H122" s="1510">
        <f>'Input data'!I142</f>
        <v>424.26313389388866</v>
      </c>
      <c r="I122" s="1511">
        <f>'Input data'!K142</f>
        <v>30659.375370841866</v>
      </c>
      <c r="J122" s="1511">
        <f t="shared" si="94"/>
        <v>3064.6114747106108</v>
      </c>
      <c r="K122" s="1513">
        <f t="shared" si="78"/>
        <v>11183.365867657274</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3033.4882588631699</v>
      </c>
      <c r="Y122" s="528">
        <f t="shared" si="79"/>
        <v>3033.4882588631699</v>
      </c>
      <c r="Z122" s="528">
        <f t="shared" si="80"/>
        <v>11214.489083504715</v>
      </c>
      <c r="AA122" s="530">
        <f t="shared" si="81"/>
        <v>8149.8776087941042</v>
      </c>
      <c r="AB122" s="1091">
        <f t="shared" si="42"/>
        <v>0.72672749940803649</v>
      </c>
      <c r="AC122" s="135" t="str">
        <f t="shared" si="43"/>
        <v>Yes</v>
      </c>
      <c r="AD122" s="1091">
        <f t="shared" si="44"/>
        <v>0.72672749940803649</v>
      </c>
      <c r="AE122" s="649">
        <f t="shared" si="11"/>
        <v>0.38276102392324807</v>
      </c>
      <c r="AF122" s="530">
        <f t="shared" si="45"/>
        <v>261.87174235177775</v>
      </c>
      <c r="AG122" s="527">
        <f t="shared" si="46"/>
        <v>3064.6114747106108</v>
      </c>
      <c r="AH122" s="528">
        <f t="shared" si="82"/>
        <v>8404.1812761281708</v>
      </c>
      <c r="AI122" s="528">
        <f t="shared" si="83"/>
        <v>6437.663217588939</v>
      </c>
      <c r="AJ122" s="528">
        <f t="shared" si="12"/>
        <v>1017.7054926234995</v>
      </c>
      <c r="AK122" s="528">
        <f t="shared" si="47"/>
        <v>18924.161461051219</v>
      </c>
      <c r="AL122" s="716">
        <f t="shared" si="13"/>
        <v>0</v>
      </c>
      <c r="AM122" s="649">
        <f t="shared" si="48"/>
        <v>0.16194173152760527</v>
      </c>
      <c r="AN122" s="417">
        <f t="shared" si="49"/>
        <v>0.44409794819312043</v>
      </c>
      <c r="AO122" s="417">
        <f t="shared" si="50"/>
        <v>0.34018221789317438</v>
      </c>
      <c r="AP122" s="417">
        <f t="shared" si="51"/>
        <v>5.3778102386099959E-2</v>
      </c>
      <c r="AQ122" s="525">
        <f t="shared" si="52"/>
        <v>1</v>
      </c>
      <c r="AR122" s="1086">
        <f t="shared" si="14"/>
        <v>569.04685643594348</v>
      </c>
      <c r="AS122" s="938">
        <f t="shared" si="15"/>
        <v>721.7053619706121</v>
      </c>
      <c r="AT122" s="938">
        <f t="shared" si="16"/>
        <v>229.71439309380716</v>
      </c>
      <c r="AU122" s="938">
        <f t="shared" si="17"/>
        <v>0</v>
      </c>
      <c r="AV122" s="938">
        <f t="shared" si="18"/>
        <v>0</v>
      </c>
      <c r="AW122" s="938">
        <f t="shared" si="19"/>
        <v>0</v>
      </c>
      <c r="AX122" s="938">
        <f t="shared" si="20"/>
        <v>977.742065222115</v>
      </c>
      <c r="AY122" s="938">
        <f t="shared" si="21"/>
        <v>141.35921013787421</v>
      </c>
      <c r="AZ122" s="938">
        <f t="shared" si="22"/>
        <v>205.46488224392746</v>
      </c>
      <c r="BA122" s="938">
        <f t="shared" si="23"/>
        <v>180.61994185618934</v>
      </c>
      <c r="BB122" s="938">
        <f t="shared" si="24"/>
        <v>38.95876375014079</v>
      </c>
      <c r="BC122" s="530">
        <f t="shared" si="53"/>
        <v>3064.6114747106094</v>
      </c>
      <c r="BD122" s="724">
        <f t="shared" si="54"/>
        <v>0</v>
      </c>
      <c r="BE122" s="436">
        <f t="shared" si="55"/>
        <v>0.18568319708118253</v>
      </c>
      <c r="BF122" s="624">
        <f t="shared" si="56"/>
        <v>0.23549652800238327</v>
      </c>
      <c r="BG122" s="624">
        <f t="shared" si="57"/>
        <v>7.4957101410546359E-2</v>
      </c>
      <c r="BH122" s="624">
        <f t="shared" si="58"/>
        <v>0</v>
      </c>
      <c r="BI122" s="624">
        <f t="shared" si="59"/>
        <v>0</v>
      </c>
      <c r="BJ122" s="624">
        <f t="shared" si="60"/>
        <v>0</v>
      </c>
      <c r="BK122" s="624">
        <f t="shared" si="61"/>
        <v>0.50386317350588794</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71.346716720966938</v>
      </c>
      <c r="BW122" s="114">
        <f t="shared" si="65"/>
        <v>0.65685734130558426</v>
      </c>
      <c r="BX122" s="1695">
        <f t="shared" si="25"/>
        <v>18.383718586317492</v>
      </c>
      <c r="BY122" s="527">
        <f t="shared" si="66"/>
        <v>71.346716720966938</v>
      </c>
      <c r="BZ122" s="417">
        <f t="shared" si="67"/>
        <v>0.65685734130558426</v>
      </c>
      <c r="CA122" s="544">
        <f t="shared" si="26"/>
        <v>18.383718586317492</v>
      </c>
      <c r="CB122" s="649">
        <f t="shared" si="27"/>
        <v>0.38276102392324807</v>
      </c>
      <c r="CC122" s="525">
        <f t="shared" si="68"/>
        <v>0.35073519895588434</v>
      </c>
      <c r="CD122" s="417">
        <f t="shared" si="28"/>
        <v>0.38276102392324807</v>
      </c>
      <c r="CE122" s="525">
        <f t="shared" si="69"/>
        <v>0.35073519895588434</v>
      </c>
      <c r="CG122" s="527">
        <f t="shared" si="70"/>
        <v>1586.6932854508129</v>
      </c>
      <c r="CH122" s="528">
        <f t="shared" si="71"/>
        <v>614.17251517003626</v>
      </c>
      <c r="CI122" s="528">
        <f t="shared" si="72"/>
        <v>2540.6871015492961</v>
      </c>
      <c r="CJ122" s="528">
        <f t="shared" si="73"/>
        <v>3613.6972297557754</v>
      </c>
      <c r="CK122" s="528">
        <f t="shared" si="74"/>
        <v>48.93114420224866</v>
      </c>
      <c r="CL122" s="528">
        <f t="shared" si="75"/>
        <v>8404.181276128169</v>
      </c>
      <c r="CM122" s="646">
        <f t="shared" si="76"/>
        <v>0</v>
      </c>
    </row>
    <row r="123" spans="1:91">
      <c r="A123" s="873">
        <f>'Input data'!A143</f>
        <v>2043</v>
      </c>
      <c r="B123" s="1553">
        <f>'Input data'!B143</f>
        <v>72.713999999999999</v>
      </c>
      <c r="C123" s="1552">
        <f>'Input data'!C143</f>
        <v>5353.7899999999991</v>
      </c>
      <c r="D123" s="1554">
        <f>'Input data'!D143</f>
        <v>17102737.64872111</v>
      </c>
      <c r="E123" s="1456">
        <f t="shared" si="29"/>
        <v>0.93950303030302995</v>
      </c>
      <c r="F123" s="1506">
        <f t="shared" si="30"/>
        <v>0.3507787878787878</v>
      </c>
      <c r="G123" s="1511">
        <f>B123*F123*'Input data'!$C$9</f>
        <v>780.67991564882448</v>
      </c>
      <c r="H123" s="1510">
        <f>'Input data'!I143</f>
        <v>424.26313389388866</v>
      </c>
      <c r="I123" s="1511">
        <f>'Input data'!K143</f>
        <v>30849.869517960218</v>
      </c>
      <c r="J123" s="1511">
        <f t="shared" si="94"/>
        <v>2897.4508488173046</v>
      </c>
      <c r="K123" s="1513">
        <f t="shared" si="78"/>
        <v>11439.052637973511</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3033.4882588631699</v>
      </c>
      <c r="Y123" s="528">
        <f t="shared" si="79"/>
        <v>3033.4882588631699</v>
      </c>
      <c r="Z123" s="528">
        <f t="shared" si="80"/>
        <v>11303.015227927646</v>
      </c>
      <c r="AA123" s="530">
        <f t="shared" si="81"/>
        <v>8405.5643791103412</v>
      </c>
      <c r="AB123" s="1091">
        <f t="shared" si="42"/>
        <v>0.74365682161886826</v>
      </c>
      <c r="AC123" s="135" t="str">
        <f t="shared" si="43"/>
        <v>Yes</v>
      </c>
      <c r="AD123" s="1091">
        <f t="shared" si="44"/>
        <v>0.74365682161886826</v>
      </c>
      <c r="AE123" s="649">
        <f t="shared" si="11"/>
        <v>0.39214970181301045</v>
      </c>
      <c r="AF123" s="530">
        <f t="shared" si="45"/>
        <v>257.88847244714685</v>
      </c>
      <c r="AG123" s="527">
        <f t="shared" si="46"/>
        <v>2897.4508488173046</v>
      </c>
      <c r="AH123" s="528">
        <f t="shared" si="82"/>
        <v>8456.3984959853842</v>
      </c>
      <c r="AI123" s="528">
        <f t="shared" si="83"/>
        <v>6437.663217588939</v>
      </c>
      <c r="AJ123" s="528">
        <f t="shared" si="12"/>
        <v>960.58982313021056</v>
      </c>
      <c r="AK123" s="528">
        <f t="shared" si="47"/>
        <v>18752.102385521837</v>
      </c>
      <c r="AL123" s="716">
        <f t="shared" si="13"/>
        <v>0</v>
      </c>
      <c r="AM123" s="649">
        <f t="shared" si="48"/>
        <v>0.15451338677920054</v>
      </c>
      <c r="AN123" s="417">
        <f t="shared" si="49"/>
        <v>0.4509573551877798</v>
      </c>
      <c r="AO123" s="417">
        <f t="shared" si="50"/>
        <v>0.3433035445966498</v>
      </c>
      <c r="AP123" s="417">
        <f t="shared" si="51"/>
        <v>5.1225713436369925E-2</v>
      </c>
      <c r="AQ123" s="525">
        <f t="shared" si="52"/>
        <v>1</v>
      </c>
      <c r="AR123" s="1086">
        <f t="shared" si="14"/>
        <v>539.24084678274448</v>
      </c>
      <c r="AS123" s="938">
        <f t="shared" si="15"/>
        <v>683.90327811342263</v>
      </c>
      <c r="AT123" s="938">
        <f t="shared" si="16"/>
        <v>216.82236151011676</v>
      </c>
      <c r="AU123" s="938">
        <f t="shared" si="17"/>
        <v>0</v>
      </c>
      <c r="AV123" s="938">
        <f t="shared" si="18"/>
        <v>0</v>
      </c>
      <c r="AW123" s="938">
        <f t="shared" si="19"/>
        <v>0</v>
      </c>
      <c r="AX123" s="938">
        <f t="shared" si="20"/>
        <v>922.86922327355353</v>
      </c>
      <c r="AY123" s="938">
        <f t="shared" si="21"/>
        <v>133.42584829145829</v>
      </c>
      <c r="AZ123" s="938">
        <f t="shared" si="22"/>
        <v>193.93378175190801</v>
      </c>
      <c r="BA123" s="938">
        <f t="shared" si="23"/>
        <v>170.48318915343896</v>
      </c>
      <c r="BB123" s="938">
        <f t="shared" si="24"/>
        <v>36.772319940661063</v>
      </c>
      <c r="BC123" s="530">
        <f t="shared" si="53"/>
        <v>2897.4508488173037</v>
      </c>
      <c r="BD123" s="724">
        <f t="shared" si="54"/>
        <v>0</v>
      </c>
      <c r="BE123" s="436">
        <f t="shared" si="55"/>
        <v>0.18610871242314761</v>
      </c>
      <c r="BF123" s="624">
        <f t="shared" si="56"/>
        <v>0.23603619657347483</v>
      </c>
      <c r="BG123" s="624">
        <f t="shared" si="57"/>
        <v>7.4832110300894469E-2</v>
      </c>
      <c r="BH123" s="624">
        <f t="shared" si="58"/>
        <v>0</v>
      </c>
      <c r="BI123" s="624">
        <f t="shared" si="59"/>
        <v>0</v>
      </c>
      <c r="BJ123" s="624">
        <f t="shared" si="60"/>
        <v>0</v>
      </c>
      <c r="BK123" s="624">
        <f t="shared" si="61"/>
        <v>0.50302298070248308</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70.601583075559873</v>
      </c>
      <c r="BW123" s="114">
        <f t="shared" si="65"/>
        <v>0.67211352109214584</v>
      </c>
      <c r="BX123" s="1695">
        <f t="shared" si="25"/>
        <v>17.10273764872111</v>
      </c>
      <c r="BY123" s="527">
        <f t="shared" si="66"/>
        <v>70.601583075559873</v>
      </c>
      <c r="BZ123" s="417">
        <f t="shared" si="67"/>
        <v>0.67211352109214584</v>
      </c>
      <c r="CA123" s="544">
        <f t="shared" si="26"/>
        <v>17.10273764872111</v>
      </c>
      <c r="CB123" s="649">
        <f t="shared" si="27"/>
        <v>0.39214970181301045</v>
      </c>
      <c r="CC123" s="525">
        <f t="shared" si="68"/>
        <v>0.36343450290667212</v>
      </c>
      <c r="CD123" s="417">
        <f t="shared" si="28"/>
        <v>0.39214970181301045</v>
      </c>
      <c r="CE123" s="525">
        <f t="shared" si="69"/>
        <v>0.36343450290667212</v>
      </c>
      <c r="CG123" s="527">
        <f t="shared" si="70"/>
        <v>1596.551796281331</v>
      </c>
      <c r="CH123" s="528">
        <f t="shared" si="71"/>
        <v>617.98851820485731</v>
      </c>
      <c r="CI123" s="528">
        <f t="shared" si="72"/>
        <v>2556.4730077085101</v>
      </c>
      <c r="CJ123" s="528">
        <f t="shared" si="73"/>
        <v>3636.1500085028915</v>
      </c>
      <c r="CK123" s="528">
        <f t="shared" si="74"/>
        <v>49.235165287792277</v>
      </c>
      <c r="CL123" s="528">
        <f t="shared" si="75"/>
        <v>8456.3984959853806</v>
      </c>
      <c r="CM123" s="646">
        <f t="shared" si="76"/>
        <v>0</v>
      </c>
    </row>
    <row r="124" spans="1:91">
      <c r="A124" s="873">
        <f>'Input data'!A144</f>
        <v>2044</v>
      </c>
      <c r="B124" s="1553">
        <f>'Input data'!B144</f>
        <v>73.165000000000006</v>
      </c>
      <c r="C124" s="1552">
        <f>'Input data'!C144</f>
        <v>5526.5000000000018</v>
      </c>
      <c r="D124" s="1554">
        <f>'Input data'!D144</f>
        <v>15821756.711124728</v>
      </c>
      <c r="E124" s="1456">
        <f t="shared" si="29"/>
        <v>0.94814545454545418</v>
      </c>
      <c r="F124" s="1506">
        <f t="shared" si="30"/>
        <v>0.3531318181818181</v>
      </c>
      <c r="G124" s="1511">
        <f>B124*F124*'Input data'!$C$9</f>
        <v>790.79128603823585</v>
      </c>
      <c r="H124" s="1510">
        <f>'Input data'!I144</f>
        <v>424.26313389388866</v>
      </c>
      <c r="I124" s="1511">
        <f>'Input data'!K144</f>
        <v>31041.212191346367</v>
      </c>
      <c r="J124" s="1511">
        <f t="shared" si="94"/>
        <v>2730.2902229239985</v>
      </c>
      <c r="K124" s="1513">
        <f t="shared" si="78"/>
        <v>11695.133734100098</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3033.4882588631699</v>
      </c>
      <c r="Y124" s="528">
        <f t="shared" si="79"/>
        <v>3033.4882588631699</v>
      </c>
      <c r="Z124" s="528">
        <f t="shared" si="80"/>
        <v>11391.935698160927</v>
      </c>
      <c r="AA124" s="530">
        <f t="shared" si="81"/>
        <v>8661.6454752369282</v>
      </c>
      <c r="AB124" s="1091">
        <f t="shared" si="42"/>
        <v>0.76033131723480785</v>
      </c>
      <c r="AC124" s="135" t="str">
        <f t="shared" si="43"/>
        <v>Yes</v>
      </c>
      <c r="AD124" s="1091">
        <f t="shared" si="44"/>
        <v>0.76033131723480785</v>
      </c>
      <c r="AE124" s="649">
        <f t="shared" si="11"/>
        <v>0.40142550363638252</v>
      </c>
      <c r="AF124" s="530">
        <f t="shared" si="45"/>
        <v>253.9530916961844</v>
      </c>
      <c r="AG124" s="527">
        <f t="shared" si="46"/>
        <v>2730.2902229239985</v>
      </c>
      <c r="AH124" s="528">
        <f t="shared" si="82"/>
        <v>8508.8483092495335</v>
      </c>
      <c r="AI124" s="528">
        <f t="shared" si="83"/>
        <v>6437.663217588939</v>
      </c>
      <c r="AJ124" s="528">
        <f t="shared" si="12"/>
        <v>903.67620418886224</v>
      </c>
      <c r="AK124" s="528">
        <f t="shared" si="47"/>
        <v>18580.477953951333</v>
      </c>
      <c r="AL124" s="716">
        <f t="shared" si="13"/>
        <v>0</v>
      </c>
      <c r="AM124" s="649">
        <f t="shared" si="48"/>
        <v>0.14694402532004694</v>
      </c>
      <c r="AN124" s="417">
        <f t="shared" si="49"/>
        <v>0.45794560992119354</v>
      </c>
      <c r="AO124" s="417">
        <f t="shared" si="50"/>
        <v>0.34647457581788971</v>
      </c>
      <c r="AP124" s="417">
        <f t="shared" si="51"/>
        <v>4.8635788940869847E-2</v>
      </c>
      <c r="AQ124" s="525">
        <f t="shared" si="52"/>
        <v>1.0000000000000002</v>
      </c>
      <c r="AR124" s="1086">
        <f t="shared" si="14"/>
        <v>509.27957618295375</v>
      </c>
      <c r="AS124" s="938">
        <f t="shared" si="15"/>
        <v>645.90428137218441</v>
      </c>
      <c r="AT124" s="938">
        <f t="shared" si="16"/>
        <v>203.97593636193224</v>
      </c>
      <c r="AU124" s="938">
        <f t="shared" si="17"/>
        <v>0</v>
      </c>
      <c r="AV124" s="938">
        <f t="shared" si="18"/>
        <v>0</v>
      </c>
      <c r="AW124" s="938">
        <f t="shared" si="19"/>
        <v>0</v>
      </c>
      <c r="AX124" s="938">
        <f t="shared" si="20"/>
        <v>868.19049772248206</v>
      </c>
      <c r="AY124" s="938">
        <f t="shared" si="21"/>
        <v>125.52055125027066</v>
      </c>
      <c r="AZ124" s="938">
        <f t="shared" si="22"/>
        <v>182.44347330941835</v>
      </c>
      <c r="BA124" s="938">
        <f t="shared" si="23"/>
        <v>160.38229590040959</v>
      </c>
      <c r="BB124" s="938">
        <f t="shared" si="24"/>
        <v>34.593610824347188</v>
      </c>
      <c r="BC124" s="530">
        <f t="shared" si="53"/>
        <v>2730.290222923999</v>
      </c>
      <c r="BD124" s="724">
        <f t="shared" si="54"/>
        <v>0</v>
      </c>
      <c r="BE124" s="436">
        <f t="shared" si="55"/>
        <v>0.18652946558829259</v>
      </c>
      <c r="BF124" s="624">
        <f t="shared" si="56"/>
        <v>0.23656982541601548</v>
      </c>
      <c r="BG124" s="624">
        <f t="shared" si="57"/>
        <v>7.470851803567044E-2</v>
      </c>
      <c r="BH124" s="624">
        <f t="shared" si="58"/>
        <v>0</v>
      </c>
      <c r="BI124" s="624">
        <f t="shared" si="59"/>
        <v>0</v>
      </c>
      <c r="BJ124" s="624">
        <f t="shared" si="60"/>
        <v>0</v>
      </c>
      <c r="BK124" s="624">
        <f t="shared" si="61"/>
        <v>0.50219219096002121</v>
      </c>
      <c r="BL124" s="624">
        <f t="shared" si="62"/>
        <v>0.99999999999999978</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69.956283762597309</v>
      </c>
      <c r="BW124" s="114">
        <f t="shared" si="65"/>
        <v>0.68723401290869057</v>
      </c>
      <c r="BX124" s="1695">
        <f t="shared" si="25"/>
        <v>15.821756711124728</v>
      </c>
      <c r="BY124" s="527">
        <f t="shared" si="66"/>
        <v>69.956283762597309</v>
      </c>
      <c r="BZ124" s="417">
        <f t="shared" si="67"/>
        <v>0.68723401290869057</v>
      </c>
      <c r="CA124" s="544">
        <f t="shared" si="26"/>
        <v>15.821756711124728</v>
      </c>
      <c r="CB124" s="649">
        <f t="shared" si="27"/>
        <v>0.40142550363638252</v>
      </c>
      <c r="CC124" s="525">
        <f t="shared" si="68"/>
        <v>0.3753458577446025</v>
      </c>
      <c r="CD124" s="417">
        <f t="shared" si="28"/>
        <v>0.40142550363638252</v>
      </c>
      <c r="CE124" s="525">
        <f t="shared" si="69"/>
        <v>0.3753458577446025</v>
      </c>
      <c r="CG124" s="527">
        <f t="shared" si="70"/>
        <v>1606.4542203004046</v>
      </c>
      <c r="CH124" s="528">
        <f t="shared" si="71"/>
        <v>621.82151902602516</v>
      </c>
      <c r="CI124" s="528">
        <f t="shared" si="72"/>
        <v>2572.3292297080779</v>
      </c>
      <c r="CJ124" s="528">
        <f t="shared" si="73"/>
        <v>3658.702799627501</v>
      </c>
      <c r="CK124" s="528">
        <f t="shared" si="74"/>
        <v>49.540540587525406</v>
      </c>
      <c r="CL124" s="528">
        <f t="shared" si="75"/>
        <v>8508.8483092495353</v>
      </c>
      <c r="CM124" s="646">
        <f t="shared" si="76"/>
        <v>0</v>
      </c>
    </row>
    <row r="125" spans="1:91">
      <c r="A125" s="873">
        <f>'Input data'!A145</f>
        <v>2045</v>
      </c>
      <c r="B125" s="1553">
        <f>'Input data'!B145</f>
        <v>73.62</v>
      </c>
      <c r="C125" s="1552">
        <f>'Input data'!C145</f>
        <v>5709.93</v>
      </c>
      <c r="D125" s="1554">
        <f>'Input data'!D145</f>
        <v>14540775.773528345</v>
      </c>
      <c r="E125" s="1456">
        <f t="shared" si="29"/>
        <v>0.95678787878787841</v>
      </c>
      <c r="F125" s="1506">
        <f t="shared" si="30"/>
        <v>0.3554848484848484</v>
      </c>
      <c r="G125" s="1511">
        <f>B125*F125*'Input data'!$C$9</f>
        <v>801.01113926454832</v>
      </c>
      <c r="H125" s="1510">
        <f>'Input data'!I145</f>
        <v>424.26313389388866</v>
      </c>
      <c r="I125" s="1511">
        <f>'Input data'!K145</f>
        <v>31234.251917268084</v>
      </c>
      <c r="J125" s="1511">
        <f t="shared" si="94"/>
        <v>2563.1295970306924</v>
      </c>
      <c r="K125" s="1513">
        <f t="shared" si="78"/>
        <v>11952.003481847376</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3033.4882588631699</v>
      </c>
      <c r="Y125" s="528">
        <f t="shared" si="79"/>
        <v>3033.4882588631699</v>
      </c>
      <c r="Z125" s="528">
        <f t="shared" si="80"/>
        <v>11481.644820014899</v>
      </c>
      <c r="AA125" s="530">
        <f t="shared" si="81"/>
        <v>8918.515222984206</v>
      </c>
      <c r="AB125" s="1091">
        <f t="shared" si="42"/>
        <v>0.77676285608812567</v>
      </c>
      <c r="AC125" s="135" t="str">
        <f t="shared" si="43"/>
        <v>Yes</v>
      </c>
      <c r="AD125" s="1091">
        <f t="shared" si="44"/>
        <v>0.77676285608812567</v>
      </c>
      <c r="AE125" s="649">
        <f t="shared" si="11"/>
        <v>0.41059861471993231</v>
      </c>
      <c r="AF125" s="530">
        <f t="shared" si="45"/>
        <v>250.06127884032082</v>
      </c>
      <c r="AG125" s="527">
        <f t="shared" si="46"/>
        <v>2563.1295970306924</v>
      </c>
      <c r="AH125" s="528">
        <f t="shared" si="82"/>
        <v>8561.7633093275581</v>
      </c>
      <c r="AI125" s="528">
        <f t="shared" si="83"/>
        <v>6437.663217588939</v>
      </c>
      <c r="AJ125" s="528">
        <f t="shared" si="12"/>
        <v>846.95522427722813</v>
      </c>
      <c r="AK125" s="528">
        <f t="shared" si="47"/>
        <v>18409.51134822442</v>
      </c>
      <c r="AL125" s="716">
        <f t="shared" si="13"/>
        <v>0</v>
      </c>
      <c r="AM125" s="649">
        <f t="shared" si="48"/>
        <v>0.13922855140193083</v>
      </c>
      <c r="AN125" s="417">
        <f t="shared" si="49"/>
        <v>0.46507281738107253</v>
      </c>
      <c r="AO125" s="417">
        <f t="shared" si="50"/>
        <v>0.34969223766006402</v>
      </c>
      <c r="AP125" s="417">
        <f t="shared" si="51"/>
        <v>4.6006393556932527E-2</v>
      </c>
      <c r="AQ125" s="525">
        <f t="shared" si="52"/>
        <v>0.99999999999999989</v>
      </c>
      <c r="AR125" s="1086">
        <f t="shared" si="14"/>
        <v>479.17027669723973</v>
      </c>
      <c r="AS125" s="938">
        <f t="shared" si="15"/>
        <v>607.71754395636117</v>
      </c>
      <c r="AT125" s="938">
        <f t="shared" si="16"/>
        <v>191.17299329979099</v>
      </c>
      <c r="AU125" s="938">
        <f t="shared" si="17"/>
        <v>0</v>
      </c>
      <c r="AV125" s="938">
        <f t="shared" si="18"/>
        <v>0</v>
      </c>
      <c r="AW125" s="938">
        <f t="shared" si="19"/>
        <v>0</v>
      </c>
      <c r="AX125" s="938">
        <f t="shared" si="20"/>
        <v>813.69684661988333</v>
      </c>
      <c r="AY125" s="938">
        <f t="shared" si="21"/>
        <v>117.64201175463968</v>
      </c>
      <c r="AZ125" s="938">
        <f t="shared" si="22"/>
        <v>170.99205682127376</v>
      </c>
      <c r="BA125" s="938">
        <f t="shared" si="23"/>
        <v>150.3155917625991</v>
      </c>
      <c r="BB125" s="938">
        <f t="shared" si="24"/>
        <v>32.422276118903724</v>
      </c>
      <c r="BC125" s="530">
        <f t="shared" si="53"/>
        <v>2563.1295970306915</v>
      </c>
      <c r="BD125" s="724">
        <f t="shared" si="54"/>
        <v>0</v>
      </c>
      <c r="BE125" s="436">
        <f t="shared" si="55"/>
        <v>0.1869473464206976</v>
      </c>
      <c r="BF125" s="624">
        <f t="shared" si="56"/>
        <v>0.23709981136357042</v>
      </c>
      <c r="BG125" s="624">
        <f t="shared" si="57"/>
        <v>7.4585769491039067E-2</v>
      </c>
      <c r="BH125" s="624">
        <f t="shared" si="58"/>
        <v>0</v>
      </c>
      <c r="BI125" s="624">
        <f t="shared" si="59"/>
        <v>0</v>
      </c>
      <c r="BJ125" s="624">
        <f t="shared" si="60"/>
        <v>0</v>
      </c>
      <c r="BK125" s="624">
        <f t="shared" si="61"/>
        <v>0.50136707272469294</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69.426542820310033</v>
      </c>
      <c r="BW125" s="114">
        <f t="shared" si="65"/>
        <v>0.7022669779267493</v>
      </c>
      <c r="BX125" s="1695">
        <f t="shared" si="25"/>
        <v>14.540775773528345</v>
      </c>
      <c r="BY125" s="527">
        <f t="shared" si="66"/>
        <v>69.426542820310033</v>
      </c>
      <c r="BZ125" s="417">
        <f t="shared" si="67"/>
        <v>0.7022669779267493</v>
      </c>
      <c r="CA125" s="544">
        <f t="shared" si="26"/>
        <v>14.540775773528345</v>
      </c>
      <c r="CB125" s="649">
        <f t="shared" si="27"/>
        <v>0.41059861471993231</v>
      </c>
      <c r="CC125" s="525">
        <f t="shared" si="68"/>
        <v>0.38659728678106653</v>
      </c>
      <c r="CD125" s="417">
        <f t="shared" si="28"/>
        <v>0.41059861471993231</v>
      </c>
      <c r="CE125" s="525">
        <f t="shared" si="69"/>
        <v>0.38659728678106653</v>
      </c>
      <c r="CG125" s="527">
        <f t="shared" si="70"/>
        <v>1616.4444706965869</v>
      </c>
      <c r="CH125" s="528">
        <f t="shared" si="71"/>
        <v>625.68851541988624</v>
      </c>
      <c r="CI125" s="528">
        <f t="shared" si="72"/>
        <v>2588.326083388351</v>
      </c>
      <c r="CJ125" s="528">
        <f t="shared" si="73"/>
        <v>3681.455615507095</v>
      </c>
      <c r="CK125" s="528">
        <f t="shared" si="74"/>
        <v>49.848624315637529</v>
      </c>
      <c r="CL125" s="528">
        <f t="shared" si="75"/>
        <v>8561.7633093275563</v>
      </c>
      <c r="CM125" s="646">
        <f t="shared" si="76"/>
        <v>0</v>
      </c>
    </row>
    <row r="126" spans="1:91">
      <c r="A126" s="873">
        <f>'Input data'!A146</f>
        <v>2046</v>
      </c>
      <c r="B126" s="1553">
        <f>'Input data'!B146</f>
        <v>73.995000000000005</v>
      </c>
      <c r="C126" s="1552">
        <f>'Input data'!C146</f>
        <v>5902.43</v>
      </c>
      <c r="D126" s="1554">
        <f>'Input data'!D146</f>
        <v>13259794.835931966</v>
      </c>
      <c r="E126" s="1456">
        <f t="shared" si="29"/>
        <v>0.96543030303030264</v>
      </c>
      <c r="F126" s="1506">
        <f t="shared" si="30"/>
        <v>0.3578378787878787</v>
      </c>
      <c r="G126" s="1511">
        <f>B126*F126*'Input data'!$C$9</f>
        <v>810.42034079476002</v>
      </c>
      <c r="H126" s="1510">
        <f>'Input data'!I146</f>
        <v>424.26313389388866</v>
      </c>
      <c r="I126" s="1511">
        <f>'Input data'!K146</f>
        <v>31393.350592478295</v>
      </c>
      <c r="J126" s="1511">
        <f t="shared" si="94"/>
        <v>2395.9689711373862</v>
      </c>
      <c r="K126" s="1513">
        <f>I126*$B$10-J126</f>
        <v>12193.100197180771</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3033.4882588631699</v>
      </c>
      <c r="Y126" s="528">
        <f t="shared" si="79"/>
        <v>3033.4882588631699</v>
      </c>
      <c r="Z126" s="528">
        <f t="shared" si="80"/>
        <v>11555.580909454988</v>
      </c>
      <c r="AA126" s="530">
        <f t="shared" si="81"/>
        <v>9159.611938317601</v>
      </c>
      <c r="AB126" s="1091">
        <f t="shared" si="42"/>
        <v>0.79265698627258441</v>
      </c>
      <c r="AC126" s="135" t="str">
        <f t="shared" si="43"/>
        <v>Yes</v>
      </c>
      <c r="AD126" s="1091">
        <f t="shared" si="44"/>
        <v>0.79265698627258441</v>
      </c>
      <c r="AE126" s="649">
        <f t="shared" si="11"/>
        <v>0.41931438440175495</v>
      </c>
      <c r="AF126" s="530">
        <f t="shared" si="45"/>
        <v>246.36349908081343</v>
      </c>
      <c r="AG126" s="527">
        <f t="shared" si="46"/>
        <v>2395.9689711373862</v>
      </c>
      <c r="AH126" s="528">
        <f t="shared" si="82"/>
        <v>8605.3745731281251</v>
      </c>
      <c r="AI126" s="528">
        <f t="shared" si="83"/>
        <v>6437.663217588939</v>
      </c>
      <c r="AJ126" s="528">
        <f t="shared" si="12"/>
        <v>790.66035263034064</v>
      </c>
      <c r="AK126" s="528">
        <f t="shared" si="47"/>
        <v>18229.66711448479</v>
      </c>
      <c r="AL126" s="716">
        <f t="shared" si="13"/>
        <v>0</v>
      </c>
      <c r="AM126" s="649">
        <f t="shared" si="48"/>
        <v>0.1314324038991154</v>
      </c>
      <c r="AN126" s="417">
        <f t="shared" si="49"/>
        <v>0.47205330295310399</v>
      </c>
      <c r="AO126" s="417">
        <f t="shared" si="50"/>
        <v>0.35314211593440176</v>
      </c>
      <c r="AP126" s="417">
        <f t="shared" si="51"/>
        <v>4.3372177213378944E-2</v>
      </c>
      <c r="AQ126" s="525">
        <f t="shared" si="52"/>
        <v>1.0000000000000002</v>
      </c>
      <c r="AR126" s="1086">
        <f t="shared" si="14"/>
        <v>448.73354443839253</v>
      </c>
      <c r="AS126" s="938">
        <f t="shared" si="15"/>
        <v>569.11553320165183</v>
      </c>
      <c r="AT126" s="938">
        <f t="shared" si="16"/>
        <v>178.46623051980214</v>
      </c>
      <c r="AU126" s="938">
        <f t="shared" si="17"/>
        <v>0</v>
      </c>
      <c r="AV126" s="938">
        <f t="shared" si="18"/>
        <v>0</v>
      </c>
      <c r="AW126" s="938">
        <f t="shared" si="19"/>
        <v>0</v>
      </c>
      <c r="AX126" s="938">
        <f t="shared" si="20"/>
        <v>759.61257129230171</v>
      </c>
      <c r="AY126" s="938">
        <f t="shared" si="21"/>
        <v>109.82265866231927</v>
      </c>
      <c r="AZ126" s="938">
        <f t="shared" si="22"/>
        <v>159.62666746482287</v>
      </c>
      <c r="BA126" s="938">
        <f t="shared" si="23"/>
        <v>140.32451230261617</v>
      </c>
      <c r="BB126" s="938">
        <f t="shared" si="24"/>
        <v>30.267253255479964</v>
      </c>
      <c r="BC126" s="530">
        <f t="shared" si="53"/>
        <v>2395.9689711373862</v>
      </c>
      <c r="BD126" s="724">
        <f t="shared" si="54"/>
        <v>0</v>
      </c>
      <c r="BE126" s="436">
        <f t="shared" si="55"/>
        <v>0.18728687635106353</v>
      </c>
      <c r="BF126" s="624">
        <f t="shared" si="56"/>
        <v>0.2375304271705522</v>
      </c>
      <c r="BG126" s="624">
        <f t="shared" si="57"/>
        <v>7.4486035783294283E-2</v>
      </c>
      <c r="BH126" s="624">
        <f t="shared" si="58"/>
        <v>0</v>
      </c>
      <c r="BI126" s="624">
        <f t="shared" si="59"/>
        <v>0</v>
      </c>
      <c r="BJ126" s="624">
        <f t="shared" si="60"/>
        <v>0</v>
      </c>
      <c r="BK126" s="624">
        <f t="shared" si="61"/>
        <v>0.50069666069509011</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68.991107812155235</v>
      </c>
      <c r="BW126" s="114">
        <f t="shared" si="65"/>
        <v>0.71709507005342354</v>
      </c>
      <c r="BX126" s="1695">
        <f t="shared" si="25"/>
        <v>13.259794835931967</v>
      </c>
      <c r="BY126" s="527">
        <f t="shared" si="66"/>
        <v>68.991107812155235</v>
      </c>
      <c r="BZ126" s="417">
        <f t="shared" si="67"/>
        <v>0.71709507005342354</v>
      </c>
      <c r="CA126" s="544">
        <f t="shared" si="26"/>
        <v>13.259794835931967</v>
      </c>
      <c r="CB126" s="649">
        <f t="shared" si="27"/>
        <v>0.41931438440175495</v>
      </c>
      <c r="CC126" s="525">
        <f t="shared" si="68"/>
        <v>0.39715603213077078</v>
      </c>
      <c r="CD126" s="417">
        <f t="shared" si="28"/>
        <v>0.41931438440175495</v>
      </c>
      <c r="CE126" s="525">
        <f t="shared" si="69"/>
        <v>0.39715603213077078</v>
      </c>
      <c r="CG126" s="527">
        <f t="shared" si="70"/>
        <v>1624.6781935505833</v>
      </c>
      <c r="CH126" s="528">
        <f t="shared" si="71"/>
        <v>628.87560035988156</v>
      </c>
      <c r="CI126" s="528">
        <f t="shared" si="72"/>
        <v>2601.51030345451</v>
      </c>
      <c r="CJ126" s="528">
        <f t="shared" si="73"/>
        <v>3700.2079362869804</v>
      </c>
      <c r="CK126" s="528">
        <f t="shared" si="74"/>
        <v>50.102539476169511</v>
      </c>
      <c r="CL126" s="528">
        <f t="shared" si="75"/>
        <v>8605.3745731281251</v>
      </c>
      <c r="CM126" s="646">
        <f t="shared" si="76"/>
        <v>0</v>
      </c>
    </row>
    <row r="127" spans="1:91" s="1" customFormat="1">
      <c r="A127" s="873">
        <f>'Input data'!A147</f>
        <v>2047</v>
      </c>
      <c r="B127" s="1553">
        <f>'Input data'!B147</f>
        <v>74.373000000000005</v>
      </c>
      <c r="C127" s="1552">
        <f>'Input data'!C147</f>
        <v>6104.119999999999</v>
      </c>
      <c r="D127" s="1554">
        <f>'Input data'!D147</f>
        <v>11978813.898335585</v>
      </c>
      <c r="E127" s="1456">
        <f t="shared" si="29"/>
        <v>0.97407272727272687</v>
      </c>
      <c r="F127" s="1506">
        <f t="shared" si="30"/>
        <v>0.36019090909090901</v>
      </c>
      <c r="G127" s="1511">
        <f>B127*F127*'Input data'!$C$9</f>
        <v>819.91662999058281</v>
      </c>
      <c r="H127" s="1510">
        <f>'Input data'!I147</f>
        <v>424.26313389388866</v>
      </c>
      <c r="I127" s="1511">
        <f>'Input data'!K147</f>
        <v>31553.722057090185</v>
      </c>
      <c r="J127" s="1511">
        <f>J97*(1-$C$6)</f>
        <v>2228.8083452440806</v>
      </c>
      <c r="K127" s="1513">
        <f t="shared" si="78"/>
        <v>12434.788401229685</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3033.4882588631699</v>
      </c>
      <c r="Y127" s="528">
        <f t="shared" si="79"/>
        <v>3033.4882588631699</v>
      </c>
      <c r="Z127" s="528">
        <f t="shared" si="80"/>
        <v>11630.108487610596</v>
      </c>
      <c r="AA127" s="530">
        <f t="shared" si="81"/>
        <v>9401.3001423665155</v>
      </c>
      <c r="AB127" s="1091">
        <f t="shared" si="42"/>
        <v>0.8083587657313428</v>
      </c>
      <c r="AC127" s="135" t="str">
        <f t="shared" si="43"/>
        <v>Yes</v>
      </c>
      <c r="AD127" s="1091">
        <f t="shared" si="44"/>
        <v>0.8083587657313428</v>
      </c>
      <c r="AE127" s="649">
        <f t="shared" si="11"/>
        <v>0.42794944279508085</v>
      </c>
      <c r="AF127" s="530">
        <f t="shared" si="45"/>
        <v>242.69996214550423</v>
      </c>
      <c r="AG127" s="527">
        <f t="shared" si="46"/>
        <v>2228.8083452440806</v>
      </c>
      <c r="AH127" s="528">
        <f t="shared" si="82"/>
        <v>8649.3347270390987</v>
      </c>
      <c r="AI127" s="528">
        <f t="shared" si="83"/>
        <v>6437.663217588939</v>
      </c>
      <c r="AJ127" s="528">
        <f t="shared" si="12"/>
        <v>734.51799477547058</v>
      </c>
      <c r="AK127" s="528">
        <f t="shared" si="47"/>
        <v>18050.324284647588</v>
      </c>
      <c r="AL127" s="716">
        <f t="shared" si="13"/>
        <v>0</v>
      </c>
      <c r="AM127" s="649">
        <f t="shared" si="48"/>
        <v>0.12347746833223143</v>
      </c>
      <c r="AN127" s="417">
        <f t="shared" si="49"/>
        <v>0.47917891061911011</v>
      </c>
      <c r="AO127" s="417">
        <f t="shared" si="50"/>
        <v>0.35665083441544537</v>
      </c>
      <c r="AP127" s="417">
        <f t="shared" si="51"/>
        <v>4.0692786633213178E-2</v>
      </c>
      <c r="AQ127" s="525">
        <f t="shared" si="52"/>
        <v>1</v>
      </c>
      <c r="AR127" s="1086">
        <f t="shared" si="14"/>
        <v>418.17961657928828</v>
      </c>
      <c r="AS127" s="938">
        <f t="shared" si="15"/>
        <v>530.36488672011524</v>
      </c>
      <c r="AT127" s="938">
        <f t="shared" si="16"/>
        <v>165.79389283963403</v>
      </c>
      <c r="AU127" s="938">
        <f t="shared" si="17"/>
        <v>0</v>
      </c>
      <c r="AV127" s="938">
        <f t="shared" si="18"/>
        <v>0</v>
      </c>
      <c r="AW127" s="938">
        <f t="shared" si="19"/>
        <v>0</v>
      </c>
      <c r="AX127" s="938">
        <f t="shared" si="20"/>
        <v>705.6748208199582</v>
      </c>
      <c r="AY127" s="938">
        <f t="shared" si="21"/>
        <v>102.0244897233035</v>
      </c>
      <c r="AZ127" s="938">
        <f t="shared" si="22"/>
        <v>148.2920691658484</v>
      </c>
      <c r="BA127" s="938">
        <f t="shared" si="23"/>
        <v>130.36050062643329</v>
      </c>
      <c r="BB127" s="938">
        <f t="shared" si="24"/>
        <v>28.118068769499288</v>
      </c>
      <c r="BC127" s="530">
        <f t="shared" si="53"/>
        <v>2228.8083452440801</v>
      </c>
      <c r="BD127" s="724">
        <f t="shared" si="54"/>
        <v>0</v>
      </c>
      <c r="BE127" s="436">
        <f t="shared" si="55"/>
        <v>0.18762475359158476</v>
      </c>
      <c r="BF127" s="624">
        <f t="shared" si="56"/>
        <v>0.23795894691969766</v>
      </c>
      <c r="BG127" s="624">
        <f t="shared" si="57"/>
        <v>7.438678753756986E-2</v>
      </c>
      <c r="BH127" s="624">
        <f t="shared" si="58"/>
        <v>0</v>
      </c>
      <c r="BI127" s="624">
        <f t="shared" si="59"/>
        <v>0</v>
      </c>
      <c r="BJ127" s="624">
        <f t="shared" si="60"/>
        <v>0</v>
      </c>
      <c r="BK127" s="624">
        <f t="shared" si="61"/>
        <v>0.50002951195114786</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68.656885417861446</v>
      </c>
      <c r="BW127" s="114">
        <f t="shared" si="65"/>
        <v>0.73172524035672504</v>
      </c>
      <c r="BX127" s="1695">
        <f t="shared" si="25"/>
        <v>11.978813898335586</v>
      </c>
      <c r="BY127" s="527">
        <f t="shared" si="66"/>
        <v>68.656885417861446</v>
      </c>
      <c r="BZ127" s="417">
        <f t="shared" si="67"/>
        <v>0.73172524035672504</v>
      </c>
      <c r="CA127" s="544">
        <f t="shared" si="26"/>
        <v>11.978813898335586</v>
      </c>
      <c r="CB127" s="649">
        <f t="shared" si="27"/>
        <v>0.42794944279508085</v>
      </c>
      <c r="CC127" s="525">
        <f t="shared" si="68"/>
        <v>0.40704576805013837</v>
      </c>
      <c r="CD127" s="417">
        <f t="shared" si="28"/>
        <v>0.42794944279508085</v>
      </c>
      <c r="CE127" s="525">
        <f t="shared" si="69"/>
        <v>0.40704576805013837</v>
      </c>
      <c r="CG127" s="527">
        <f t="shared" si="70"/>
        <v>1632.9777861874115</v>
      </c>
      <c r="CH127" s="528">
        <f t="shared" si="71"/>
        <v>632.08818197939684</v>
      </c>
      <c r="CI127" s="528">
        <f t="shared" si="72"/>
        <v>2614.7999972811986</v>
      </c>
      <c r="CJ127" s="528">
        <f t="shared" si="73"/>
        <v>3719.1102756331052</v>
      </c>
      <c r="CK127" s="528">
        <f t="shared" si="74"/>
        <v>50.358485957985742</v>
      </c>
      <c r="CL127" s="528">
        <f t="shared" si="75"/>
        <v>8649.3347270390987</v>
      </c>
      <c r="CM127" s="646">
        <f t="shared" si="76"/>
        <v>0</v>
      </c>
    </row>
    <row r="128" spans="1:91">
      <c r="A128" s="873">
        <f>'Input data'!A148</f>
        <v>2048</v>
      </c>
      <c r="B128" s="1553">
        <f>'Input data'!B148</f>
        <v>74.753</v>
      </c>
      <c r="C128" s="1552">
        <f>'Input data'!C148</f>
        <v>6308.13</v>
      </c>
      <c r="D128" s="1554">
        <f>'Input data'!D148</f>
        <v>10697832.960739207</v>
      </c>
      <c r="E128" s="1456">
        <f t="shared" si="29"/>
        <v>0.9827151515151511</v>
      </c>
      <c r="F128" s="1506">
        <f t="shared" si="30"/>
        <v>0.36254393939393931</v>
      </c>
      <c r="G128" s="1511">
        <f>B128*F128*'Input data'!$C$9</f>
        <v>829.48955862118044</v>
      </c>
      <c r="H128" s="1510">
        <f>'Input data'!I148</f>
        <v>424.26313389388866</v>
      </c>
      <c r="I128" s="1511">
        <f>'Input data'!K148</f>
        <v>31714.94204796986</v>
      </c>
      <c r="J128" s="1511">
        <f>J127</f>
        <v>2228.8083452440806</v>
      </c>
      <c r="K128" s="1513">
        <f t="shared" si="78"/>
        <v>12509.710305195642</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3033.4882588631699</v>
      </c>
      <c r="Y128" s="528">
        <f t="shared" si="79"/>
        <v>3033.4882588631699</v>
      </c>
      <c r="Z128" s="528">
        <f t="shared" si="80"/>
        <v>11705.030391576553</v>
      </c>
      <c r="AA128" s="530">
        <f t="shared" si="81"/>
        <v>9476.222046332472</v>
      </c>
      <c r="AB128" s="1091">
        <f t="shared" si="42"/>
        <v>0.80958542859931171</v>
      </c>
      <c r="AC128" s="135" t="str">
        <f t="shared" si="43"/>
        <v>Yes</v>
      </c>
      <c r="AD128" s="1091">
        <f t="shared" si="44"/>
        <v>0.80958542859931171</v>
      </c>
      <c r="AE128" s="649">
        <f t="shared" si="11"/>
        <v>0.42949464039331686</v>
      </c>
      <c r="AF128" s="530">
        <f t="shared" si="45"/>
        <v>242.04439176999131</v>
      </c>
      <c r="AG128" s="527">
        <f t="shared" si="46"/>
        <v>2228.8083452440806</v>
      </c>
      <c r="AH128" s="528">
        <f t="shared" si="82"/>
        <v>8693.5274743570062</v>
      </c>
      <c r="AI128" s="528">
        <f t="shared" si="83"/>
        <v>6437.663217588939</v>
      </c>
      <c r="AJ128" s="528">
        <f t="shared" si="12"/>
        <v>733.54538079213319</v>
      </c>
      <c r="AK128" s="528">
        <f t="shared" si="47"/>
        <v>18093.544417982161</v>
      </c>
      <c r="AL128" s="716">
        <f t="shared" si="13"/>
        <v>0</v>
      </c>
      <c r="AM128" s="649">
        <f t="shared" si="48"/>
        <v>0.12318251713185575</v>
      </c>
      <c r="AN128" s="417">
        <f t="shared" si="49"/>
        <v>0.48047675311847665</v>
      </c>
      <c r="AO128" s="417">
        <f t="shared" si="50"/>
        <v>0.3557989009157822</v>
      </c>
      <c r="AP128" s="417">
        <f t="shared" si="51"/>
        <v>4.0541828833885275E-2</v>
      </c>
      <c r="AQ128" s="525">
        <f t="shared" si="52"/>
        <v>0.99999999999999978</v>
      </c>
      <c r="AR128" s="1086">
        <f t="shared" si="14"/>
        <v>418.92699868871932</v>
      </c>
      <c r="AS128" s="938">
        <f t="shared" si="15"/>
        <v>531.31276942909949</v>
      </c>
      <c r="AT128" s="938">
        <f t="shared" si="16"/>
        <v>165.57435640938354</v>
      </c>
      <c r="AU128" s="938">
        <f t="shared" si="17"/>
        <v>0</v>
      </c>
      <c r="AV128" s="938">
        <f t="shared" si="18"/>
        <v>0</v>
      </c>
      <c r="AW128" s="938">
        <f t="shared" si="19"/>
        <v>0</v>
      </c>
      <c r="AX128" s="938">
        <f t="shared" si="20"/>
        <v>704.7403996031868</v>
      </c>
      <c r="AY128" s="938">
        <f t="shared" si="21"/>
        <v>101.88939372013741</v>
      </c>
      <c r="AZ128" s="938">
        <f t="shared" si="22"/>
        <v>148.09570782260747</v>
      </c>
      <c r="BA128" s="938">
        <f t="shared" si="23"/>
        <v>130.18788341802454</v>
      </c>
      <c r="BB128" s="938">
        <f t="shared" si="24"/>
        <v>28.080836152920554</v>
      </c>
      <c r="BC128" s="530">
        <f t="shared" si="53"/>
        <v>2228.8083452440792</v>
      </c>
      <c r="BD128" s="724">
        <f t="shared" si="54"/>
        <v>0</v>
      </c>
      <c r="BE128" s="436">
        <f t="shared" si="55"/>
        <v>0.18796008171031958</v>
      </c>
      <c r="BF128" s="624">
        <f t="shared" si="56"/>
        <v>0.23838423369278747</v>
      </c>
      <c r="BG128" s="624">
        <f t="shared" si="57"/>
        <v>7.4288288072275374E-2</v>
      </c>
      <c r="BH128" s="624">
        <f t="shared" si="58"/>
        <v>0</v>
      </c>
      <c r="BI128" s="624">
        <f t="shared" si="59"/>
        <v>0</v>
      </c>
      <c r="BJ128" s="624">
        <f t="shared" si="60"/>
        <v>0</v>
      </c>
      <c r="BK128" s="624">
        <f t="shared" si="61"/>
        <v>0.49936739652461754</v>
      </c>
      <c r="BL128" s="624">
        <f t="shared" si="62"/>
        <v>1</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68.607826094018549</v>
      </c>
      <c r="BW128" s="114">
        <f t="shared" si="65"/>
        <v>0.74437652795579423</v>
      </c>
      <c r="BX128" s="1695">
        <f t="shared" si="25"/>
        <v>10.697832960739207</v>
      </c>
      <c r="BY128" s="527">
        <f t="shared" si="66"/>
        <v>68.607826094018549</v>
      </c>
      <c r="BZ128" s="417">
        <f t="shared" si="67"/>
        <v>0.74437652795579423</v>
      </c>
      <c r="CA128" s="544">
        <f t="shared" si="26"/>
        <v>10.697832960739207</v>
      </c>
      <c r="CB128" s="649">
        <f t="shared" si="27"/>
        <v>0.42949464039331686</v>
      </c>
      <c r="CC128" s="525">
        <f t="shared" si="68"/>
        <v>0.41613851685325609</v>
      </c>
      <c r="CD128" s="417">
        <f t="shared" si="28"/>
        <v>0.42949464039331686</v>
      </c>
      <c r="CE128" s="525">
        <f t="shared" si="69"/>
        <v>0.41613851685325609</v>
      </c>
      <c r="CG128" s="527">
        <f t="shared" si="70"/>
        <v>1641.3212920127946</v>
      </c>
      <c r="CH128" s="528">
        <f t="shared" si="71"/>
        <v>635.31776138525879</v>
      </c>
      <c r="CI128" s="528">
        <f t="shared" si="72"/>
        <v>2628.1600069482397</v>
      </c>
      <c r="CJ128" s="528">
        <f t="shared" si="73"/>
        <v>3738.1126273567215</v>
      </c>
      <c r="CK128" s="528">
        <f t="shared" si="74"/>
        <v>50.615786653991478</v>
      </c>
      <c r="CL128" s="528">
        <f t="shared" si="75"/>
        <v>8693.5274743570044</v>
      </c>
      <c r="CM128" s="646">
        <f t="shared" si="76"/>
        <v>0</v>
      </c>
    </row>
    <row r="129" spans="1:91">
      <c r="A129" s="127">
        <f>'Input data'!A149</f>
        <v>2049</v>
      </c>
      <c r="B129" s="662">
        <f>'Input data'!B149</f>
        <v>75.134</v>
      </c>
      <c r="C129" s="236">
        <f>'Input data'!C149</f>
        <v>6522.2000000000007</v>
      </c>
      <c r="D129" s="237">
        <f>'Input data'!D149</f>
        <v>9416852.0231428221</v>
      </c>
      <c r="E129" s="649">
        <f t="shared" si="29"/>
        <v>0.99135757575757533</v>
      </c>
      <c r="F129" s="417">
        <f t="shared" si="30"/>
        <v>0.36489696969696961</v>
      </c>
      <c r="G129" s="528">
        <f>B129*F129*'Input data'!$C$9</f>
        <v>839.12839037833646</v>
      </c>
      <c r="H129" s="527">
        <f>'Input data'!I149</f>
        <v>424.26313389388866</v>
      </c>
      <c r="I129" s="528">
        <f>'Input data'!K149</f>
        <v>31876.586301983432</v>
      </c>
      <c r="J129" s="528">
        <f t="shared" ref="J129:J130" si="95">J128</f>
        <v>2228.8083452440806</v>
      </c>
      <c r="K129" s="530">
        <f t="shared" si="78"/>
        <v>12584.829372066772</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3033.4882588631699</v>
      </c>
      <c r="Y129" s="528">
        <f t="shared" si="79"/>
        <v>3033.4882588631699</v>
      </c>
      <c r="Z129" s="528">
        <f t="shared" si="80"/>
        <v>11780.149458447682</v>
      </c>
      <c r="AA129" s="530">
        <f t="shared" si="81"/>
        <v>9551.3411132036017</v>
      </c>
      <c r="AB129" s="1091">
        <f t="shared" si="42"/>
        <v>0.81079965469828774</v>
      </c>
      <c r="AC129" s="135" t="str">
        <f t="shared" si="43"/>
        <v>Yes</v>
      </c>
      <c r="AD129" s="1091">
        <f t="shared" si="44"/>
        <v>0.81079965469828774</v>
      </c>
      <c r="AE129" s="649">
        <f t="shared" si="11"/>
        <v>0.4310278228276031</v>
      </c>
      <c r="AF129" s="530">
        <f t="shared" si="45"/>
        <v>241.39391898558998</v>
      </c>
      <c r="AG129" s="527">
        <f t="shared" si="46"/>
        <v>2228.8083452440806</v>
      </c>
      <c r="AH129" s="528">
        <f t="shared" si="82"/>
        <v>8737.8365183783844</v>
      </c>
      <c r="AI129" s="528">
        <f t="shared" si="83"/>
        <v>6437.663217588939</v>
      </c>
      <c r="AJ129" s="528">
        <f t="shared" si="12"/>
        <v>732.58262785191232</v>
      </c>
      <c r="AK129" s="528">
        <f t="shared" si="47"/>
        <v>18136.890709063318</v>
      </c>
      <c r="AL129" s="716">
        <f t="shared" si="13"/>
        <v>0</v>
      </c>
      <c r="AM129" s="649">
        <f t="shared" si="48"/>
        <v>0.12288811687718372</v>
      </c>
      <c r="AN129" s="417">
        <f t="shared" si="49"/>
        <v>0.48177147111615642</v>
      </c>
      <c r="AO129" s="417">
        <f t="shared" si="50"/>
        <v>0.35494855876106302</v>
      </c>
      <c r="AP129" s="417">
        <f t="shared" si="51"/>
        <v>4.0391853245596729E-2</v>
      </c>
      <c r="AQ129" s="525">
        <f t="shared" si="52"/>
        <v>0.99999999999999989</v>
      </c>
      <c r="AR129" s="1086">
        <f t="shared" si="14"/>
        <v>419.66680331383384</v>
      </c>
      <c r="AS129" s="938">
        <f t="shared" si="15"/>
        <v>532.25104183798294</v>
      </c>
      <c r="AT129" s="938">
        <f t="shared" si="16"/>
        <v>165.35704579352745</v>
      </c>
      <c r="AU129" s="938">
        <f t="shared" si="17"/>
        <v>0</v>
      </c>
      <c r="AV129" s="938">
        <f t="shared" si="18"/>
        <v>0</v>
      </c>
      <c r="AW129" s="938">
        <f t="shared" si="19"/>
        <v>0</v>
      </c>
      <c r="AX129" s="938">
        <f t="shared" si="20"/>
        <v>703.81545220446174</v>
      </c>
      <c r="AY129" s="938">
        <f t="shared" si="21"/>
        <v>101.75566741505803</v>
      </c>
      <c r="AZ129" s="938">
        <f t="shared" si="22"/>
        <v>147.90133732846525</v>
      </c>
      <c r="BA129" s="938">
        <f t="shared" si="23"/>
        <v>130.01701632401259</v>
      </c>
      <c r="BB129" s="938">
        <f t="shared" si="24"/>
        <v>28.043981026737505</v>
      </c>
      <c r="BC129" s="530">
        <f t="shared" si="53"/>
        <v>2228.8083452440796</v>
      </c>
      <c r="BD129" s="724">
        <f t="shared" si="54"/>
        <v>0</v>
      </c>
      <c r="BE129" s="436">
        <f t="shared" si="55"/>
        <v>0.18829201003726304</v>
      </c>
      <c r="BF129" s="624">
        <f t="shared" si="56"/>
        <v>0.23880520861011736</v>
      </c>
      <c r="BG129" s="624">
        <f t="shared" si="57"/>
        <v>7.4190787263684166E-2</v>
      </c>
      <c r="BH129" s="624">
        <f t="shared" si="58"/>
        <v>0</v>
      </c>
      <c r="BI129" s="624">
        <f t="shared" si="59"/>
        <v>0</v>
      </c>
      <c r="BJ129" s="624">
        <f t="shared" si="60"/>
        <v>0</v>
      </c>
      <c r="BK129" s="624">
        <f t="shared" si="61"/>
        <v>0.49871199408893535</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68.658381543966158</v>
      </c>
      <c r="BW129" s="114">
        <f t="shared" si="65"/>
        <v>0.75669995145792956</v>
      </c>
      <c r="BX129" s="1695">
        <f t="shared" si="25"/>
        <v>9.4168520231428214</v>
      </c>
      <c r="BY129" s="527">
        <f t="shared" si="66"/>
        <v>68.658381543966158</v>
      </c>
      <c r="BZ129" s="417">
        <f t="shared" si="67"/>
        <v>0.75669995145792956</v>
      </c>
      <c r="CA129" s="544">
        <f t="shared" si="26"/>
        <v>9.4168520231428214</v>
      </c>
      <c r="CB129" s="649">
        <f t="shared" si="27"/>
        <v>0.4310278228276031</v>
      </c>
      <c r="CC129" s="525">
        <f t="shared" si="68"/>
        <v>0.42464719043152677</v>
      </c>
      <c r="CD129" s="417">
        <f t="shared" si="28"/>
        <v>0.4310278228276031</v>
      </c>
      <c r="CE129" s="525">
        <f t="shared" si="69"/>
        <v>0.42464719043152677</v>
      </c>
      <c r="CG129" s="527">
        <f t="shared" si="70"/>
        <v>1649.686754432455</v>
      </c>
      <c r="CH129" s="528">
        <f t="shared" si="71"/>
        <v>638.55583968429403</v>
      </c>
      <c r="CI129" s="528">
        <f t="shared" si="72"/>
        <v>2641.5551745354569</v>
      </c>
      <c r="CJ129" s="528">
        <f t="shared" si="73"/>
        <v>3757.1649852690857</v>
      </c>
      <c r="CK129" s="528">
        <f t="shared" si="74"/>
        <v>50.873764457091966</v>
      </c>
      <c r="CL129" s="528">
        <f t="shared" si="75"/>
        <v>8737.8365183783844</v>
      </c>
      <c r="CM129" s="646">
        <f t="shared" si="76"/>
        <v>0</v>
      </c>
    </row>
    <row r="130" spans="1:91" ht="15" thickBot="1">
      <c r="A130" s="172">
        <f>'Input data'!A150</f>
        <v>2050</v>
      </c>
      <c r="B130" s="664">
        <f>'Input data'!B150</f>
        <v>75.518000000000001</v>
      </c>
      <c r="C130" s="239">
        <f>'Input data'!C150</f>
        <v>6747.1300000000019</v>
      </c>
      <c r="D130" s="240">
        <f>'Input data'!D150</f>
        <v>8135871.0855464395</v>
      </c>
      <c r="E130" s="650">
        <f>C51</f>
        <v>1</v>
      </c>
      <c r="F130" s="651">
        <f>D51</f>
        <v>0.36725000000000002</v>
      </c>
      <c r="G130" s="667">
        <f>B130*F130*'Input data'!$C$9</f>
        <v>848.8558222073508</v>
      </c>
      <c r="H130" s="670">
        <f>'Input data'!I150</f>
        <v>424.26313389388866</v>
      </c>
      <c r="I130" s="667">
        <f>'Input data'!K150</f>
        <v>32039.503345398683</v>
      </c>
      <c r="J130" s="667">
        <f t="shared" si="95"/>
        <v>2228.8083452440806</v>
      </c>
      <c r="K130" s="659">
        <f t="shared" si="78"/>
        <v>12660.539927653419</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3033.4882588631699</v>
      </c>
      <c r="Y130" s="667">
        <f t="shared" si="79"/>
        <v>3033.4882588631699</v>
      </c>
      <c r="Z130" s="667">
        <f t="shared" si="80"/>
        <v>11855.86001403433</v>
      </c>
      <c r="AA130" s="659">
        <f t="shared" si="81"/>
        <v>9627.0516687902491</v>
      </c>
      <c r="AB130" s="1094">
        <f t="shared" si="42"/>
        <v>0.81200787268019892</v>
      </c>
      <c r="AC130" s="1105" t="str">
        <f t="shared" si="43"/>
        <v>Yes</v>
      </c>
      <c r="AD130" s="1094">
        <f t="shared" si="44"/>
        <v>0.81200787268019892</v>
      </c>
      <c r="AE130" s="650">
        <f t="shared" si="11"/>
        <v>0.43255703878856866</v>
      </c>
      <c r="AF130" s="659">
        <f t="shared" si="45"/>
        <v>240.74512902959015</v>
      </c>
      <c r="AG130" s="670">
        <f t="shared" si="46"/>
        <v>2228.8083452440806</v>
      </c>
      <c r="AH130" s="667">
        <f t="shared" si="82"/>
        <v>8782.4944525101655</v>
      </c>
      <c r="AI130" s="667">
        <f t="shared" si="83"/>
        <v>6437.663217588939</v>
      </c>
      <c r="AJ130" s="667">
        <f t="shared" si="12"/>
        <v>731.62463871340378</v>
      </c>
      <c r="AK130" s="667">
        <f t="shared" si="47"/>
        <v>18180.590654056588</v>
      </c>
      <c r="AL130" s="717">
        <f t="shared" si="13"/>
        <v>0</v>
      </c>
      <c r="AM130" s="650">
        <f t="shared" si="48"/>
        <v>0.12259273571767991</v>
      </c>
      <c r="AN130" s="651">
        <f t="shared" si="49"/>
        <v>0.48306980887612416</v>
      </c>
      <c r="AO130" s="651">
        <f t="shared" si="50"/>
        <v>0.35409538337262547</v>
      </c>
      <c r="AP130" s="651">
        <f t="shared" si="51"/>
        <v>4.0242072033570497E-2</v>
      </c>
      <c r="AQ130" s="652">
        <f t="shared" si="52"/>
        <v>1</v>
      </c>
      <c r="AR130" s="1476">
        <f t="shared" si="14"/>
        <v>420.40294730869442</v>
      </c>
      <c r="AS130" s="1477">
        <f t="shared" si="15"/>
        <v>533.1846715773703</v>
      </c>
      <c r="AT130" s="1477">
        <f t="shared" si="16"/>
        <v>165.14081045320748</v>
      </c>
      <c r="AU130" s="1477">
        <f t="shared" si="17"/>
        <v>0</v>
      </c>
      <c r="AV130" s="1477">
        <f t="shared" si="18"/>
        <v>0</v>
      </c>
      <c r="AW130" s="1477">
        <f t="shared" si="19"/>
        <v>0</v>
      </c>
      <c r="AX130" s="1477">
        <f t="shared" si="20"/>
        <v>702.89508154169653</v>
      </c>
      <c r="AY130" s="1477">
        <f t="shared" si="21"/>
        <v>101.62260280164897</v>
      </c>
      <c r="AZ130" s="1477">
        <f t="shared" si="22"/>
        <v>147.7079285997502</v>
      </c>
      <c r="BA130" s="1477">
        <f t="shared" si="23"/>
        <v>129.84699469815871</v>
      </c>
      <c r="BB130" s="1477">
        <f t="shared" si="24"/>
        <v>28.007308263553192</v>
      </c>
      <c r="BC130" s="659">
        <f t="shared" si="53"/>
        <v>2228.8083452440796</v>
      </c>
      <c r="BD130" s="725">
        <f t="shared" si="54"/>
        <v>0</v>
      </c>
      <c r="BE130" s="683">
        <f t="shared" si="55"/>
        <v>0.18862229594831115</v>
      </c>
      <c r="BF130" s="683">
        <f>AS130/BC130</f>
        <v>0.23922410049975856</v>
      </c>
      <c r="BG130" s="683">
        <f t="shared" si="57"/>
        <v>7.4093768899237814E-2</v>
      </c>
      <c r="BH130" s="683">
        <f t="shared" si="58"/>
        <v>0</v>
      </c>
      <c r="BI130" s="683">
        <f t="shared" si="59"/>
        <v>0</v>
      </c>
      <c r="BJ130" s="683">
        <f t="shared" si="60"/>
        <v>0</v>
      </c>
      <c r="BK130" s="683">
        <f t="shared" si="61"/>
        <v>0.49805983465269249</v>
      </c>
      <c r="BL130" s="683">
        <f t="shared" si="62"/>
        <v>1</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68.810267360351872</v>
      </c>
      <c r="BW130" s="651">
        <f t="shared" si="65"/>
        <v>0.7686864093782273</v>
      </c>
      <c r="BX130" s="1696">
        <f t="shared" si="25"/>
        <v>8.1358710855464391</v>
      </c>
      <c r="BY130" s="670">
        <f t="shared" si="66"/>
        <v>68.810267360351872</v>
      </c>
      <c r="BZ130" s="651">
        <f t="shared" si="67"/>
        <v>0.7686864093782273</v>
      </c>
      <c r="CA130" s="675">
        <f t="shared" si="26"/>
        <v>8.1358710855464391</v>
      </c>
      <c r="CB130" s="650">
        <f t="shared" si="27"/>
        <v>0.43255703878856866</v>
      </c>
      <c r="CC130" s="652">
        <f t="shared" si="68"/>
        <v>0.4326070386148424</v>
      </c>
      <c r="CD130" s="651">
        <f t="shared" si="28"/>
        <v>0.43255703878856866</v>
      </c>
      <c r="CE130" s="652">
        <f t="shared" si="69"/>
        <v>0.4326070386148424</v>
      </c>
      <c r="CG130" s="670">
        <f t="shared" si="70"/>
        <v>1658.1180866349475</v>
      </c>
      <c r="CH130" s="667">
        <f t="shared" si="71"/>
        <v>641.81941466284923</v>
      </c>
      <c r="CI130" s="667">
        <f t="shared" si="72"/>
        <v>2655.0558158832036</v>
      </c>
      <c r="CJ130" s="667">
        <f t="shared" si="73"/>
        <v>3776.3673617476875</v>
      </c>
      <c r="CK130" s="667">
        <f t="shared" si="74"/>
        <v>51.133773581476703</v>
      </c>
      <c r="CL130" s="667">
        <f t="shared" si="75"/>
        <v>8782.4944525101637</v>
      </c>
      <c r="CM130" s="653">
        <f t="shared" si="76"/>
        <v>0</v>
      </c>
    </row>
    <row r="131" spans="1:91">
      <c r="AL131" s="529"/>
      <c r="AM131" s="528"/>
      <c r="AN131" s="623"/>
      <c r="AO131" s="623"/>
      <c r="AP131" s="623"/>
      <c r="AS131" s="114"/>
    </row>
    <row r="132" spans="1:91" ht="23.4">
      <c r="A132" s="686" t="s">
        <v>637</v>
      </c>
      <c r="AL132" s="529"/>
      <c r="AM132" s="528"/>
      <c r="AO132" s="623"/>
      <c r="AS132" s="114"/>
    </row>
    <row r="133" spans="1:91" ht="15" thickBot="1">
      <c r="AL133" s="529"/>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09"/>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853" t="s">
        <v>735</v>
      </c>
      <c r="AL134" s="1854"/>
      <c r="AM134" s="1854"/>
      <c r="AN134" s="1854"/>
      <c r="AO134" s="1855"/>
    </row>
    <row r="135" spans="1:91" ht="58.95" customHeight="1">
      <c r="A135" s="1862"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6"/>
      <c r="N135" s="508" t="s">
        <v>605</v>
      </c>
      <c r="O135" s="511" t="s">
        <v>606</v>
      </c>
      <c r="P135" s="1896"/>
      <c r="Q135" s="1815"/>
      <c r="R135" s="1815"/>
      <c r="S135" s="1815"/>
      <c r="T135" s="1839"/>
      <c r="U135" s="1837"/>
      <c r="V135" s="1813"/>
      <c r="W135" s="1835"/>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2"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56.521999999999998</v>
      </c>
      <c r="C137" s="738">
        <f>'Input data'!C117</f>
        <v>3120.54</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v>
      </c>
      <c r="C138" s="236">
        <f>'Input data'!C118</f>
        <v>3152.24</v>
      </c>
      <c r="D138" s="236">
        <f>'Input data'!D118</f>
        <v>50172070.130067617</v>
      </c>
      <c r="E138" s="527">
        <f>'Input data'!J118*C138</f>
        <v>37887.937398629729</v>
      </c>
      <c r="F138" s="528">
        <f>'Input data'!L118</f>
        <v>88060.007528697344</v>
      </c>
      <c r="G138" s="528">
        <f>$G$137*(1+((($G$150/$G$137)^(1/($A$150-$A$137)))-1))^(A138-$A$137)</f>
        <v>64886.148572305057</v>
      </c>
      <c r="H138" s="528">
        <f>E138*$B$12+I138*$E$80-G138</f>
        <v>3938.3123321961466</v>
      </c>
      <c r="I138" s="530">
        <f t="shared" ref="I138:I170" si="99">D138/1000</f>
        <v>50172.070130067616</v>
      </c>
      <c r="J138" s="417">
        <f t="shared" ref="J138:J148" si="100">$J$137*(1+((($J$150/$J$137)^(1/($A$150-$A$137)))-1))^(A138-$A$137)</f>
        <v>6.7388021833337503E-2</v>
      </c>
      <c r="K138" s="1514">
        <f>(I138)*J138-(I138)*$J$137</f>
        <v>293.0191002049919</v>
      </c>
      <c r="L138" s="1514">
        <f t="shared" ref="L138:L170" si="101">(E138)*$C$12*$G$12-(E138)*$C$12*$G$12</f>
        <v>0</v>
      </c>
      <c r="M138" s="1511">
        <f>L138+K138</f>
        <v>293.0191002049919</v>
      </c>
      <c r="N138" s="1456">
        <f>($N$142-$N$137)/($A$102-$A$97)+N137</f>
        <v>0.05</v>
      </c>
      <c r="O138" s="1513">
        <f t="shared" ref="O138:O170" si="102">N138*$E$137*($C$85)*$B$12</f>
        <v>75.191700000000026</v>
      </c>
      <c r="P138" s="1698">
        <f>O138+M138</f>
        <v>368.21080020499193</v>
      </c>
      <c r="Q138" s="1366">
        <f t="shared" ref="Q138:Q170" si="103">E138*$B$12+(1-$J$137)*I138-P138</f>
        <v>68456.25010429621</v>
      </c>
      <c r="R138" s="1366">
        <f>Q138-G138</f>
        <v>3570.101531991153</v>
      </c>
      <c r="S138" s="1091">
        <f t="shared" ref="S138:S170" si="104">R138/(Q138-I138*(1-J138))</f>
        <v>0.16478525004343605</v>
      </c>
      <c r="T138" s="135" t="str">
        <f t="shared" ref="T138:T170" si="105">IF(AND(S138&gt;=0,S138&lt;=1),"Yes","No")</f>
        <v>Yes</v>
      </c>
      <c r="U138" s="1091">
        <f t="shared" ref="U138:U170" si="106">IF(S138&lt;=0,0,IF(S138&gt;=1,1,S138))</f>
        <v>0.16478525004343605</v>
      </c>
      <c r="V138" s="1496">
        <f t="shared" si="97"/>
        <v>84489.90599670622</v>
      </c>
      <c r="W138" s="1493">
        <f t="shared" si="98"/>
        <v>4.0541690060924451E-2</v>
      </c>
      <c r="X138" s="527">
        <f t="shared" ref="X138:X170" si="107">(E138*$B$12-O138-L138)*(1-U138)+I138*(1-J138)</f>
        <v>64886.148572305072</v>
      </c>
      <c r="Y138" s="1511">
        <f t="shared" ref="Y138:Y170" si="108">I138*J138+E138*$G$12*$C$12</f>
        <v>6414.9921583644846</v>
      </c>
      <c r="Z138" s="528">
        <f t="shared" ref="Z138:Z170" si="109">($C$12*$H$12*E138+O138)</f>
        <v>1787.3285316252955</v>
      </c>
      <c r="AA138" s="528">
        <f t="shared" ref="AA138:AA170" si="110">$F$137*$D$11</f>
        <v>0</v>
      </c>
      <c r="AB138" s="528">
        <f t="shared" ref="AB138:AB170" si="111">E138*$E$12</f>
        <v>11401.436734411351</v>
      </c>
      <c r="AC138" s="528">
        <f t="shared" ref="AC138:AC170" si="112">SUM(X138:AB138)</f>
        <v>84489.90599670622</v>
      </c>
      <c r="AD138" s="1489">
        <f t="shared" ref="AD138:AD170" si="113">X138-G138</f>
        <v>0</v>
      </c>
      <c r="AE138" s="417">
        <f t="shared" ref="AE138:AE170" si="114">X138/AC138</f>
        <v>0.76797515403596983</v>
      </c>
      <c r="AF138" s="417">
        <f t="shared" ref="AF138:AF170" si="115">Y138/AC138</f>
        <v>7.5926136769693744E-2</v>
      </c>
      <c r="AG138" s="417">
        <f t="shared" ref="AG138:AG170" si="116">Z138/AC138</f>
        <v>2.1154343948435371E-2</v>
      </c>
      <c r="AH138" s="417">
        <f>AA138/AC138</f>
        <v>0</v>
      </c>
      <c r="AI138" s="417">
        <f t="shared" ref="AI138:AI169" si="117">AB138/AC138</f>
        <v>0.13494436524590084</v>
      </c>
      <c r="AJ138" s="525">
        <f t="shared" ref="AJ138:AJ170" si="118">SUM(AE138:AI138)</f>
        <v>0.99999999999999978</v>
      </c>
      <c r="AK138" s="1499">
        <f t="shared" ref="AK138:AK170" si="119">I138*(1-$J$137)-K138</f>
        <v>46791.07357271888</v>
      </c>
      <c r="AL138" s="1500">
        <f t="shared" ref="AL138:AL170" si="120">(E138*$C$86*$B$12-L138)*(1-U138)</f>
        <v>16889.092557223823</v>
      </c>
      <c r="AM138" s="1500">
        <f t="shared" ref="AM138:AM170" si="121">(E138*($C$85)*$B$12-O138)*(1-U138)</f>
        <v>1205.9824423623629</v>
      </c>
      <c r="AN138" s="1500">
        <f t="shared" ref="AN138:AN170" si="122">SUM(AK138:AM138)</f>
        <v>64886.148572305072</v>
      </c>
      <c r="AO138" s="1565">
        <f t="shared" ref="AO138:AO170" si="123">AN138-X138</f>
        <v>0</v>
      </c>
    </row>
    <row r="139" spans="1:91">
      <c r="A139" s="127">
        <f>'Input data'!A119</f>
        <v>2019</v>
      </c>
      <c r="B139" s="662">
        <f>'Input data'!B119</f>
        <v>58.365000000000002</v>
      </c>
      <c r="C139" s="236">
        <f>'Input data'!C119</f>
        <v>3179.2899999999995</v>
      </c>
      <c r="D139" s="236">
        <f>'Input data'!D119</f>
        <v>49847473.41597119</v>
      </c>
      <c r="E139" s="527">
        <f>'Input data'!J119*C139</f>
        <v>38213.061344342277</v>
      </c>
      <c r="F139" s="528">
        <f>'Input data'!L119</f>
        <v>88060.534760313458</v>
      </c>
      <c r="G139" s="528">
        <f t="shared" ref="G139:G149" si="124">$G$137*(1+((($G$150/$G$137)^(1/($A$150-$A$137)))-1))^(A139-$A$137)</f>
        <v>61517.098453473154</v>
      </c>
      <c r="H139" s="528">
        <f t="shared" ref="H139:H170" si="125">E139*$B$12+I139*$E$80-G139</f>
        <v>7189.3023654873396</v>
      </c>
      <c r="I139" s="530">
        <f t="shared" si="99"/>
        <v>49847.473415971188</v>
      </c>
      <c r="J139" s="417">
        <f t="shared" si="100"/>
        <v>7.3782491286642105E-2</v>
      </c>
      <c r="K139" s="1514">
        <f t="shared" ref="K139:K170" si="126">(I139)*J139-(I139)*$J$137</f>
        <v>609.87150953932951</v>
      </c>
      <c r="L139" s="1514">
        <f t="shared" si="101"/>
        <v>0</v>
      </c>
      <c r="M139" s="1511">
        <f t="shared" ref="M139:M170" si="127">L139+K139</f>
        <v>609.87150953932951</v>
      </c>
      <c r="N139" s="1456">
        <f>($N$142-$N$137)/($A$102-$A$97)+N138</f>
        <v>0.1</v>
      </c>
      <c r="O139" s="1513">
        <f t="shared" si="102"/>
        <v>150.38340000000005</v>
      </c>
      <c r="P139" s="1698">
        <f>O139+M139</f>
        <v>760.25490953932956</v>
      </c>
      <c r="Q139" s="1366">
        <f t="shared" si="103"/>
        <v>67946.14590942116</v>
      </c>
      <c r="R139" s="1366">
        <f t="shared" ref="R139:R170" si="128">Q139-G139</f>
        <v>6429.0474559480062</v>
      </c>
      <c r="S139" s="1091">
        <f t="shared" si="104"/>
        <v>0.29522809829328112</v>
      </c>
      <c r="T139" s="135" t="str">
        <f t="shared" si="105"/>
        <v>Yes</v>
      </c>
      <c r="U139" s="1091">
        <f t="shared" si="106"/>
        <v>0.29522809829328112</v>
      </c>
      <c r="V139" s="1496">
        <f>AC139</f>
        <v>81631.487304365466</v>
      </c>
      <c r="W139" s="1493">
        <f t="shared" si="98"/>
        <v>7.3007136209731427E-2</v>
      </c>
      <c r="X139" s="527">
        <f t="shared" si="107"/>
        <v>61517.098453473154</v>
      </c>
      <c r="Y139" s="1511">
        <f t="shared" si="108"/>
        <v>6737.9016952250222</v>
      </c>
      <c r="Z139" s="528">
        <f t="shared" si="109"/>
        <v>1877.2124191793723</v>
      </c>
      <c r="AA139" s="528">
        <f t="shared" si="110"/>
        <v>0</v>
      </c>
      <c r="AB139" s="528">
        <f t="shared" si="111"/>
        <v>11499.274736487914</v>
      </c>
      <c r="AC139" s="528">
        <f t="shared" si="112"/>
        <v>81631.487304365466</v>
      </c>
      <c r="AD139" s="1489">
        <f t="shared" si="113"/>
        <v>0</v>
      </c>
      <c r="AE139" s="417">
        <f t="shared" si="114"/>
        <v>0.75359521778777339</v>
      </c>
      <c r="AF139" s="417">
        <f t="shared" si="115"/>
        <v>8.2540474487528964E-2</v>
      </c>
      <c r="AG139" s="417">
        <f t="shared" si="116"/>
        <v>2.2996180532398353E-2</v>
      </c>
      <c r="AH139" s="417">
        <f t="shared" ref="AH139:AH170" si="129">AA139/AC139</f>
        <v>0</v>
      </c>
      <c r="AI139" s="417">
        <f t="shared" si="117"/>
        <v>0.14086812719229924</v>
      </c>
      <c r="AJ139" s="525">
        <f t="shared" si="118"/>
        <v>1</v>
      </c>
      <c r="AK139" s="1499">
        <f t="shared" si="119"/>
        <v>46169.602642996171</v>
      </c>
      <c r="AL139" s="1500">
        <f t="shared" si="120"/>
        <v>14373.668012098096</v>
      </c>
      <c r="AM139" s="1500">
        <f t="shared" si="121"/>
        <v>973.82779837888586</v>
      </c>
      <c r="AN139" s="1500">
        <f t="shared" si="122"/>
        <v>61517.098453473154</v>
      </c>
      <c r="AO139" s="1565">
        <f t="shared" si="123"/>
        <v>0</v>
      </c>
    </row>
    <row r="140" spans="1:91">
      <c r="A140" s="127">
        <f>'Input data'!A120</f>
        <v>2020</v>
      </c>
      <c r="B140" s="662">
        <f>'Input data'!B120</f>
        <v>59.308999999999997</v>
      </c>
      <c r="C140" s="236">
        <f>'Input data'!C120</f>
        <v>2948.9199999999987</v>
      </c>
      <c r="D140" s="236">
        <f>'Input data'!D120</f>
        <v>47586944.933914557</v>
      </c>
      <c r="E140" s="527">
        <f>'Input data'!J120*C140</f>
        <v>35444.159186345947</v>
      </c>
      <c r="F140" s="528">
        <f>'Input data'!L120</f>
        <v>83031.104120260512</v>
      </c>
      <c r="G140" s="528">
        <f t="shared" si="124"/>
        <v>58322.977791126912</v>
      </c>
      <c r="H140" s="528">
        <f t="shared" si="125"/>
        <v>6673.2091897572027</v>
      </c>
      <c r="I140" s="530">
        <f t="shared" si="99"/>
        <v>47586.944933914558</v>
      </c>
      <c r="J140" s="417">
        <f t="shared" si="100"/>
        <v>8.0783733850016193E-2</v>
      </c>
      <c r="K140" s="1514">
        <f t="shared" si="126"/>
        <v>915.38224694159044</v>
      </c>
      <c r="L140" s="1514">
        <f t="shared" si="101"/>
        <v>0</v>
      </c>
      <c r="M140" s="1511">
        <f t="shared" si="127"/>
        <v>915.38224694159044</v>
      </c>
      <c r="N140" s="1456">
        <f>($N$142-$N$137)/($A$102-$A$97)+N139</f>
        <v>0.15000000000000002</v>
      </c>
      <c r="O140" s="1513">
        <f t="shared" si="102"/>
        <v>225.57510000000011</v>
      </c>
      <c r="P140" s="1698">
        <f t="shared" ref="P140:P170" si="130">O140+M140</f>
        <v>1140.9573469415905</v>
      </c>
      <c r="Q140" s="1366">
        <f t="shared" si="103"/>
        <v>63855.229633942523</v>
      </c>
      <c r="R140" s="1366">
        <f t="shared" si="128"/>
        <v>5532.2518428156109</v>
      </c>
      <c r="S140" s="1091">
        <f t="shared" si="104"/>
        <v>0.27506486001542335</v>
      </c>
      <c r="T140" s="135" t="str">
        <f t="shared" si="105"/>
        <v>Yes</v>
      </c>
      <c r="U140" s="1091">
        <f t="shared" si="106"/>
        <v>0.27506486001542335</v>
      </c>
      <c r="V140" s="1496">
        <f t="shared" si="97"/>
        <v>77498.852277444908</v>
      </c>
      <c r="W140" s="1493">
        <f t="shared" si="98"/>
        <v>6.6628667671368103E-2</v>
      </c>
      <c r="X140" s="527">
        <f t="shared" si="107"/>
        <v>58322.977791126919</v>
      </c>
      <c r="Y140" s="1511">
        <f t="shared" si="108"/>
        <v>6682.5534785328</v>
      </c>
      <c r="Z140" s="528">
        <f t="shared" si="109"/>
        <v>1827.278823547847</v>
      </c>
      <c r="AA140" s="528">
        <f t="shared" si="110"/>
        <v>0</v>
      </c>
      <c r="AB140" s="528">
        <f t="shared" si="111"/>
        <v>10666.04218423734</v>
      </c>
      <c r="AC140" s="528">
        <f t="shared" si="112"/>
        <v>77498.852277444908</v>
      </c>
      <c r="AD140" s="1489">
        <f t="shared" si="113"/>
        <v>0</v>
      </c>
      <c r="AE140" s="417">
        <f t="shared" si="114"/>
        <v>0.75256569713228005</v>
      </c>
      <c r="AF140" s="417">
        <f t="shared" si="115"/>
        <v>8.6227773472171476E-2</v>
      </c>
      <c r="AG140" s="417">
        <f t="shared" si="116"/>
        <v>2.3578140447889629E-2</v>
      </c>
      <c r="AH140" s="417">
        <f t="shared" si="129"/>
        <v>0</v>
      </c>
      <c r="AI140" s="417">
        <f t="shared" si="117"/>
        <v>0.13762838894765878</v>
      </c>
      <c r="AJ140" s="525">
        <f t="shared" si="118"/>
        <v>1</v>
      </c>
      <c r="AK140" s="1499">
        <f t="shared" si="119"/>
        <v>43742.693839637825</v>
      </c>
      <c r="AL140" s="1500">
        <f t="shared" si="120"/>
        <v>13713.585784241033</v>
      </c>
      <c r="AM140" s="1500">
        <f t="shared" si="121"/>
        <v>866.69816724804878</v>
      </c>
      <c r="AN140" s="1500">
        <f t="shared" si="122"/>
        <v>58322.977791126905</v>
      </c>
      <c r="AO140" s="1565">
        <f t="shared" si="123"/>
        <v>0</v>
      </c>
    </row>
    <row r="141" spans="1:91">
      <c r="A141" s="127">
        <f>'Input data'!A121</f>
        <v>2021</v>
      </c>
      <c r="B141" s="662">
        <f>'Input data'!B121</f>
        <v>59.991999999999997</v>
      </c>
      <c r="C141" s="236">
        <f>'Input data'!C121</f>
        <v>3014.38</v>
      </c>
      <c r="D141" s="1552">
        <f>'Input data'!D121</f>
        <v>47328556.831579238</v>
      </c>
      <c r="E141" s="1510">
        <f>'Input data'!J121*C141</f>
        <v>36230.947115600815</v>
      </c>
      <c r="F141" s="1511">
        <f>'Input data'!L121</f>
        <v>83559.503947180056</v>
      </c>
      <c r="G141" s="1511">
        <f t="shared" si="124"/>
        <v>55294.7038130703</v>
      </c>
      <c r="H141" s="1511">
        <f t="shared" si="125"/>
        <v>9910.4627843886556</v>
      </c>
      <c r="I141" s="1513">
        <f t="shared" si="99"/>
        <v>47328.556831579241</v>
      </c>
      <c r="J141" s="417">
        <f t="shared" si="100"/>
        <v>8.8449326404511766E-2</v>
      </c>
      <c r="K141" s="1514">
        <f t="shared" si="126"/>
        <v>1273.2133274943335</v>
      </c>
      <c r="L141" s="1514">
        <f t="shared" si="101"/>
        <v>0</v>
      </c>
      <c r="M141" s="1511">
        <f t="shared" si="127"/>
        <v>1273.2133274943335</v>
      </c>
      <c r="N141" s="1456">
        <f>($N$142-$N$137)/($A$102-$A$97)+N140</f>
        <v>0.2</v>
      </c>
      <c r="O141" s="1513">
        <f t="shared" si="102"/>
        <v>300.7668000000001</v>
      </c>
      <c r="P141" s="1698">
        <f t="shared" si="130"/>
        <v>1573.9801274943336</v>
      </c>
      <c r="Q141" s="1366">
        <f t="shared" si="103"/>
        <v>63631.186469964625</v>
      </c>
      <c r="R141" s="1366">
        <f t="shared" si="128"/>
        <v>8336.4826568943245</v>
      </c>
      <c r="S141" s="1091">
        <f t="shared" si="104"/>
        <v>0.40687981500750442</v>
      </c>
      <c r="T141" s="135" t="str">
        <f t="shared" si="105"/>
        <v>Yes</v>
      </c>
      <c r="U141" s="1091">
        <f t="shared" si="106"/>
        <v>0.40687981500750442</v>
      </c>
      <c r="V141" s="1496">
        <f t="shared" si="97"/>
        <v>75223.021290285746</v>
      </c>
      <c r="W141" s="1493">
        <f t="shared" si="98"/>
        <v>9.9767019466319495E-2</v>
      </c>
      <c r="X141" s="527">
        <f t="shared" si="107"/>
        <v>55294.7038130703</v>
      </c>
      <c r="Y141" s="1511">
        <f t="shared" si="108"/>
        <v>7087.4858706050427</v>
      </c>
      <c r="Z141" s="528">
        <f t="shared" si="109"/>
        <v>1938.0250742794519</v>
      </c>
      <c r="AA141" s="528">
        <f t="shared" si="110"/>
        <v>0</v>
      </c>
      <c r="AB141" s="528">
        <f t="shared" si="111"/>
        <v>10902.806532330944</v>
      </c>
      <c r="AC141" s="528">
        <f t="shared" si="112"/>
        <v>75223.021290285746</v>
      </c>
      <c r="AD141" s="1489">
        <f t="shared" si="113"/>
        <v>0</v>
      </c>
      <c r="AE141" s="417">
        <f t="shared" si="114"/>
        <v>0.73507688025036855</v>
      </c>
      <c r="AF141" s="417">
        <f t="shared" si="115"/>
        <v>9.4219638470175573E-2</v>
      </c>
      <c r="AG141" s="417">
        <f t="shared" si="116"/>
        <v>2.5763722874153253E-2</v>
      </c>
      <c r="AH141" s="417">
        <f t="shared" si="129"/>
        <v>0</v>
      </c>
      <c r="AI141" s="417">
        <f t="shared" si="117"/>
        <v>0.14493975840530252</v>
      </c>
      <c r="AJ141" s="525">
        <f t="shared" si="118"/>
        <v>0.99999999999999989</v>
      </c>
      <c r="AK141" s="1499">
        <f t="shared" si="119"/>
        <v>43142.377860128399</v>
      </c>
      <c r="AL141" s="1500">
        <f t="shared" si="120"/>
        <v>11469.106577694625</v>
      </c>
      <c r="AM141" s="1500">
        <f t="shared" si="121"/>
        <v>683.21937524726729</v>
      </c>
      <c r="AN141" s="1500">
        <f t="shared" si="122"/>
        <v>55294.703813070293</v>
      </c>
      <c r="AO141" s="1565">
        <f t="shared" si="123"/>
        <v>0</v>
      </c>
    </row>
    <row r="142" spans="1:91">
      <c r="A142" s="873">
        <f>'Input data'!A122</f>
        <v>2022</v>
      </c>
      <c r="B142" s="1553">
        <f>'Input data'!B122</f>
        <v>60.682000000000002</v>
      </c>
      <c r="C142" s="1552">
        <f>'Input data'!C122</f>
        <v>3077.2</v>
      </c>
      <c r="D142" s="1552">
        <f>'Input data'!D122</f>
        <v>45903210.392984279</v>
      </c>
      <c r="E142" s="1510">
        <f>'Input data'!J122*C142</f>
        <v>36986.003909303676</v>
      </c>
      <c r="F142" s="1511">
        <f>'Input data'!L122</f>
        <v>82889.214302287961</v>
      </c>
      <c r="G142" s="1511">
        <f t="shared" si="124"/>
        <v>52423.665347216396</v>
      </c>
      <c r="H142" s="1511">
        <f t="shared" si="125"/>
        <v>11877.138625692154</v>
      </c>
      <c r="I142" s="1513">
        <f t="shared" si="99"/>
        <v>45903.210392984278</v>
      </c>
      <c r="J142" s="417">
        <f t="shared" si="100"/>
        <v>9.6842309318564565E-2</v>
      </c>
      <c r="K142" s="1514">
        <f t="shared" si="126"/>
        <v>1620.1341056462206</v>
      </c>
      <c r="L142" s="1514">
        <f t="shared" si="101"/>
        <v>0</v>
      </c>
      <c r="M142" s="1511">
        <f t="shared" si="127"/>
        <v>1620.1341056462206</v>
      </c>
      <c r="N142" s="1456">
        <f>$C$26</f>
        <v>0.25</v>
      </c>
      <c r="O142" s="1513">
        <f t="shared" si="102"/>
        <v>375.95850000000013</v>
      </c>
      <c r="P142" s="1698">
        <f t="shared" si="130"/>
        <v>1996.0926056462208</v>
      </c>
      <c r="Q142" s="1366">
        <f t="shared" si="103"/>
        <v>62304.711367262331</v>
      </c>
      <c r="R142" s="1366">
        <f t="shared" si="128"/>
        <v>9881.0460200459347</v>
      </c>
      <c r="S142" s="1091">
        <f t="shared" si="104"/>
        <v>0.47398214618791423</v>
      </c>
      <c r="T142" s="135" t="str">
        <f t="shared" si="105"/>
        <v>Yes</v>
      </c>
      <c r="U142" s="1091">
        <f t="shared" si="106"/>
        <v>0.47398214618791423</v>
      </c>
      <c r="V142" s="1496">
        <f t="shared" si="97"/>
        <v>73008.168282242026</v>
      </c>
      <c r="W142" s="1493">
        <f t="shared" si="98"/>
        <v>0.11920786200253786</v>
      </c>
      <c r="X142" s="527">
        <f t="shared" si="107"/>
        <v>52423.665347216396</v>
      </c>
      <c r="Y142" s="1511">
        <f t="shared" si="108"/>
        <v>7407.1433432915073</v>
      </c>
      <c r="Z142" s="528">
        <f t="shared" si="109"/>
        <v>2047.3374109577192</v>
      </c>
      <c r="AA142" s="528">
        <f t="shared" si="110"/>
        <v>0</v>
      </c>
      <c r="AB142" s="528">
        <f t="shared" si="111"/>
        <v>11130.022180776405</v>
      </c>
      <c r="AC142" s="528">
        <f t="shared" si="112"/>
        <v>73008.168282242026</v>
      </c>
      <c r="AD142" s="1489">
        <f t="shared" si="113"/>
        <v>0</v>
      </c>
      <c r="AE142" s="417">
        <f t="shared" si="114"/>
        <v>0.71805205610079037</v>
      </c>
      <c r="AF142" s="417">
        <f t="shared" si="115"/>
        <v>0.10145636464479231</v>
      </c>
      <c r="AG142" s="417">
        <f t="shared" si="116"/>
        <v>2.8042580154085287E-2</v>
      </c>
      <c r="AH142" s="417">
        <f t="shared" si="129"/>
        <v>0</v>
      </c>
      <c r="AI142" s="417">
        <f t="shared" si="117"/>
        <v>0.15244899910033205</v>
      </c>
      <c r="AJ142" s="525">
        <f t="shared" si="118"/>
        <v>1</v>
      </c>
      <c r="AK142" s="1499">
        <f t="shared" si="119"/>
        <v>41457.837493391751</v>
      </c>
      <c r="AL142" s="1500">
        <f t="shared" si="120"/>
        <v>10383.531708439445</v>
      </c>
      <c r="AM142" s="1500">
        <f t="shared" si="121"/>
        <v>582.29614538519911</v>
      </c>
      <c r="AN142" s="1500">
        <f t="shared" si="122"/>
        <v>52423.665347216396</v>
      </c>
      <c r="AO142" s="1565">
        <f t="shared" si="123"/>
        <v>0</v>
      </c>
    </row>
    <row r="143" spans="1:91">
      <c r="A143" s="873">
        <f>'Input data'!A123</f>
        <v>2023</v>
      </c>
      <c r="B143" s="1553">
        <f>'Input data'!B123</f>
        <v>61.381</v>
      </c>
      <c r="C143" s="1552">
        <f>'Input data'!C123</f>
        <v>3140.61</v>
      </c>
      <c r="D143" s="1552">
        <f>'Input data'!D123</f>
        <v>44745286.877069645</v>
      </c>
      <c r="E143" s="1510">
        <f>'Input data'!J123*C143</f>
        <v>37748.152131027629</v>
      </c>
      <c r="F143" s="1511">
        <f>'Input data'!L123</f>
        <v>82493.439008097281</v>
      </c>
      <c r="G143" s="1511">
        <f t="shared" si="124"/>
        <v>49701.698334937471</v>
      </c>
      <c r="H143" s="1511">
        <f t="shared" si="125"/>
        <v>13949.775771849141</v>
      </c>
      <c r="I143" s="1513">
        <f t="shared" si="99"/>
        <v>44745.286877069644</v>
      </c>
      <c r="J143" s="417">
        <f t="shared" si="100"/>
        <v>0.10603170487993842</v>
      </c>
      <c r="K143" s="1514">
        <f t="shared" si="126"/>
        <v>1990.4478328420287</v>
      </c>
      <c r="L143" s="1514">
        <f t="shared" si="101"/>
        <v>0</v>
      </c>
      <c r="M143" s="1511">
        <f t="shared" si="127"/>
        <v>1990.4478328420287</v>
      </c>
      <c r="N143" s="1456">
        <f>($N$147-$N$142)/($A$107-$A$102)+N142</f>
        <v>0.3</v>
      </c>
      <c r="O143" s="1513">
        <f t="shared" si="102"/>
        <v>451.15020000000015</v>
      </c>
      <c r="P143" s="1698">
        <f t="shared" si="130"/>
        <v>2441.5980328420287</v>
      </c>
      <c r="Q143" s="1366">
        <f t="shared" si="103"/>
        <v>61209.876073944586</v>
      </c>
      <c r="R143" s="1366">
        <f t="shared" si="128"/>
        <v>11508.177739007115</v>
      </c>
      <c r="S143" s="1091">
        <f t="shared" si="104"/>
        <v>0.54260800898692041</v>
      </c>
      <c r="T143" s="135" t="str">
        <f t="shared" si="105"/>
        <v>Yes</v>
      </c>
      <c r="U143" s="1091">
        <f t="shared" si="106"/>
        <v>0.54260800898692041</v>
      </c>
      <c r="V143" s="1496">
        <f t="shared" si="97"/>
        <v>70985.261269090173</v>
      </c>
      <c r="W143" s="1493">
        <f t="shared" si="98"/>
        <v>0.13950415787463422</v>
      </c>
      <c r="X143" s="527">
        <f t="shared" si="107"/>
        <v>49701.698334937471</v>
      </c>
      <c r="Y143" s="1511">
        <f t="shared" si="108"/>
        <v>7767.2209095358021</v>
      </c>
      <c r="Z143" s="528">
        <f t="shared" si="109"/>
        <v>2156.9702057009367</v>
      </c>
      <c r="AA143" s="528">
        <f t="shared" si="110"/>
        <v>0</v>
      </c>
      <c r="AB143" s="528">
        <f t="shared" si="111"/>
        <v>11359.371818915957</v>
      </c>
      <c r="AC143" s="528">
        <f t="shared" si="112"/>
        <v>70985.261269090173</v>
      </c>
      <c r="AD143" s="1489">
        <f t="shared" si="113"/>
        <v>0</v>
      </c>
      <c r="AE143" s="417">
        <f t="shared" si="114"/>
        <v>0.70016926677960378</v>
      </c>
      <c r="AF143" s="417">
        <f t="shared" si="115"/>
        <v>0.10942019189155201</v>
      </c>
      <c r="AG143" s="417">
        <f t="shared" si="116"/>
        <v>3.0386169849038337E-2</v>
      </c>
      <c r="AH143" s="417">
        <f t="shared" si="129"/>
        <v>0</v>
      </c>
      <c r="AI143" s="417">
        <f t="shared" si="117"/>
        <v>0.1600243714798058</v>
      </c>
      <c r="AJ143" s="525">
        <f t="shared" si="118"/>
        <v>1</v>
      </c>
      <c r="AK143" s="1499">
        <f t="shared" si="119"/>
        <v>40000.86782415201</v>
      </c>
      <c r="AL143" s="1500">
        <f t="shared" si="120"/>
        <v>9214.9174637270262</v>
      </c>
      <c r="AM143" s="1500">
        <f t="shared" si="121"/>
        <v>485.91304705842384</v>
      </c>
      <c r="AN143" s="1500">
        <f t="shared" si="122"/>
        <v>49701.698334937457</v>
      </c>
      <c r="AO143" s="1565">
        <f t="shared" si="123"/>
        <v>0</v>
      </c>
    </row>
    <row r="144" spans="1:91">
      <c r="A144" s="873">
        <f>'Input data'!A124</f>
        <v>2024</v>
      </c>
      <c r="B144" s="1553">
        <f>'Input data'!B124</f>
        <v>62.088000000000001</v>
      </c>
      <c r="C144" s="1552">
        <f>'Input data'!C124</f>
        <v>3201.77</v>
      </c>
      <c r="D144" s="1552">
        <f>'Input data'!D124</f>
        <v>43251251.992583826</v>
      </c>
      <c r="E144" s="1510">
        <f>'Input data'!J124*C144</f>
        <v>38483.256771315231</v>
      </c>
      <c r="F144" s="1511">
        <f>'Input data'!L124</f>
        <v>81734.508763899066</v>
      </c>
      <c r="G144" s="1511">
        <f t="shared" si="124"/>
        <v>47121.062615822855</v>
      </c>
      <c r="H144" s="1511">
        <f t="shared" si="125"/>
        <v>15550.139351350881</v>
      </c>
      <c r="I144" s="1513">
        <f t="shared" si="99"/>
        <v>43251.251992583828</v>
      </c>
      <c r="J144" s="417">
        <f t="shared" si="100"/>
        <v>0.11609308492183117</v>
      </c>
      <c r="K144" s="1514">
        <f t="shared" si="126"/>
        <v>2359.1545189973449</v>
      </c>
      <c r="L144" s="1514">
        <f t="shared" si="101"/>
        <v>0</v>
      </c>
      <c r="M144" s="1511">
        <f t="shared" si="127"/>
        <v>2359.1545189973449</v>
      </c>
      <c r="N144" s="1456">
        <f>($N$147-$N$142)/($A$107-$A$102)+N143</f>
        <v>0.35</v>
      </c>
      <c r="O144" s="1513">
        <f t="shared" si="102"/>
        <v>526.34190000000012</v>
      </c>
      <c r="P144" s="1698">
        <f t="shared" si="130"/>
        <v>2885.4964189973452</v>
      </c>
      <c r="Q144" s="1366">
        <f t="shared" si="103"/>
        <v>59785.705548176389</v>
      </c>
      <c r="R144" s="1366">
        <f t="shared" si="128"/>
        <v>12664.642932353534</v>
      </c>
      <c r="S144" s="1091">
        <f t="shared" si="104"/>
        <v>0.58753309331092052</v>
      </c>
      <c r="T144" s="135" t="str">
        <f t="shared" si="105"/>
        <v>Yes</v>
      </c>
      <c r="U144" s="1091">
        <f t="shared" si="106"/>
        <v>0.58753309331092052</v>
      </c>
      <c r="V144" s="1496">
        <f t="shared" si="97"/>
        <v>69069.865831545525</v>
      </c>
      <c r="W144" s="1493">
        <f t="shared" si="98"/>
        <v>0.15494854161217309</v>
      </c>
      <c r="X144" s="527">
        <f t="shared" si="107"/>
        <v>47121.062615822855</v>
      </c>
      <c r="Y144" s="1511">
        <f t="shared" si="108"/>
        <v>8102.8389403549436</v>
      </c>
      <c r="Z144" s="528">
        <f t="shared" si="109"/>
        <v>2265.3809146032418</v>
      </c>
      <c r="AA144" s="528">
        <f t="shared" si="110"/>
        <v>0</v>
      </c>
      <c r="AB144" s="528">
        <f t="shared" si="111"/>
        <v>11580.583360764484</v>
      </c>
      <c r="AC144" s="528">
        <f t="shared" si="112"/>
        <v>69069.865831545525</v>
      </c>
      <c r="AD144" s="1489">
        <f t="shared" si="113"/>
        <v>0</v>
      </c>
      <c r="AE144" s="417">
        <f t="shared" si="114"/>
        <v>0.68222316705734454</v>
      </c>
      <c r="AF144" s="417">
        <f t="shared" si="115"/>
        <v>0.11731366266320764</v>
      </c>
      <c r="AG144" s="417">
        <f t="shared" si="116"/>
        <v>3.2798397496938511E-2</v>
      </c>
      <c r="AH144" s="417">
        <f t="shared" si="129"/>
        <v>0</v>
      </c>
      <c r="AI144" s="417">
        <f t="shared" si="117"/>
        <v>0.1676647727825093</v>
      </c>
      <c r="AJ144" s="525">
        <f t="shared" si="118"/>
        <v>1</v>
      </c>
      <c r="AK144" s="1499">
        <f t="shared" si="119"/>
        <v>38230.080722033272</v>
      </c>
      <c r="AL144" s="1500">
        <f t="shared" si="120"/>
        <v>8471.6523509386643</v>
      </c>
      <c r="AM144" s="1500">
        <f t="shared" si="121"/>
        <v>419.32954285091336</v>
      </c>
      <c r="AN144" s="1500">
        <f t="shared" si="122"/>
        <v>47121.062615822855</v>
      </c>
      <c r="AO144" s="1565">
        <f t="shared" si="123"/>
        <v>0</v>
      </c>
    </row>
    <row r="145" spans="1:41">
      <c r="A145" s="873">
        <f>'Input data'!A125</f>
        <v>2025</v>
      </c>
      <c r="B145" s="1553">
        <f>'Input data'!B125</f>
        <v>62.802999999999997</v>
      </c>
      <c r="C145" s="1552">
        <f>'Input data'!C125</f>
        <v>3265.54</v>
      </c>
      <c r="D145" s="1552">
        <f>'Input data'!D125</f>
        <v>40955103.194912732</v>
      </c>
      <c r="E145" s="1510">
        <f>'Input data'!J125*C145</f>
        <v>39249.731966068997</v>
      </c>
      <c r="F145" s="1511">
        <f>'Input data'!L125</f>
        <v>80204.835160981718</v>
      </c>
      <c r="G145" s="1511">
        <f t="shared" si="124"/>
        <v>44674.419917829786</v>
      </c>
      <c r="H145" s="1511">
        <f t="shared" si="125"/>
        <v>16281.764941500929</v>
      </c>
      <c r="I145" s="1513">
        <f t="shared" si="99"/>
        <v>40955.103194912728</v>
      </c>
      <c r="J145" s="417">
        <f t="shared" si="100"/>
        <v>0.12710919231119061</v>
      </c>
      <c r="K145" s="1514">
        <f t="shared" si="126"/>
        <v>2685.0761025482766</v>
      </c>
      <c r="L145" s="1514">
        <f t="shared" si="101"/>
        <v>0</v>
      </c>
      <c r="M145" s="1511">
        <f t="shared" si="127"/>
        <v>2685.0761025482766</v>
      </c>
      <c r="N145" s="1456">
        <f>($N$147-$N$142)/($A$107-$A$102)+N144</f>
        <v>0.39999999999999997</v>
      </c>
      <c r="O145" s="1513">
        <f t="shared" si="102"/>
        <v>601.53360000000009</v>
      </c>
      <c r="P145" s="1698">
        <f t="shared" si="130"/>
        <v>3286.6097025482768</v>
      </c>
      <c r="Q145" s="1366">
        <f t="shared" si="103"/>
        <v>57669.575156782441</v>
      </c>
      <c r="R145" s="1366">
        <f t="shared" si="128"/>
        <v>12995.155238952655</v>
      </c>
      <c r="S145" s="1091">
        <f t="shared" si="104"/>
        <v>0.59283812693823368</v>
      </c>
      <c r="T145" s="135" t="str">
        <f t="shared" si="105"/>
        <v>Yes</v>
      </c>
      <c r="U145" s="1091">
        <f t="shared" si="106"/>
        <v>0.59283812693823368</v>
      </c>
      <c r="V145" s="1496">
        <f t="shared" si="97"/>
        <v>67209.679922029085</v>
      </c>
      <c r="W145" s="1493">
        <f t="shared" si="98"/>
        <v>0.16202458633409866</v>
      </c>
      <c r="X145" s="527">
        <f t="shared" si="107"/>
        <v>44674.419917829786</v>
      </c>
      <c r="Y145" s="1511">
        <f t="shared" si="108"/>
        <v>8348.8156668076826</v>
      </c>
      <c r="Z145" s="528">
        <f t="shared" si="109"/>
        <v>2375.2092430810053</v>
      </c>
      <c r="AA145" s="528">
        <f t="shared" si="110"/>
        <v>0</v>
      </c>
      <c r="AB145" s="528">
        <f t="shared" si="111"/>
        <v>11811.235094310599</v>
      </c>
      <c r="AC145" s="528">
        <f t="shared" si="112"/>
        <v>67209.679922029085</v>
      </c>
      <c r="AD145" s="1489">
        <f t="shared" si="113"/>
        <v>0</v>
      </c>
      <c r="AE145" s="417">
        <f t="shared" si="114"/>
        <v>0.66470216745054023</v>
      </c>
      <c r="AF145" s="417">
        <f t="shared" si="115"/>
        <v>0.12422043486136615</v>
      </c>
      <c r="AG145" s="417">
        <f t="shared" si="116"/>
        <v>3.5340284998180614E-2</v>
      </c>
      <c r="AH145" s="417">
        <f t="shared" si="129"/>
        <v>0</v>
      </c>
      <c r="AI145" s="417">
        <f t="shared" si="117"/>
        <v>0.17573711268991288</v>
      </c>
      <c r="AJ145" s="525">
        <f t="shared" si="118"/>
        <v>0.99999999999999989</v>
      </c>
      <c r="AK145" s="1499">
        <f t="shared" si="119"/>
        <v>35749.333106785904</v>
      </c>
      <c r="AL145" s="1500">
        <f t="shared" si="120"/>
        <v>8529.2529846417583</v>
      </c>
      <c r="AM145" s="1500">
        <f t="shared" si="121"/>
        <v>395.8338264021213</v>
      </c>
      <c r="AN145" s="1500">
        <f t="shared" si="122"/>
        <v>44674.419917829786</v>
      </c>
      <c r="AO145" s="1565">
        <f t="shared" si="123"/>
        <v>0</v>
      </c>
    </row>
    <row r="146" spans="1:41">
      <c r="A146" s="873">
        <f>'Input data'!A126</f>
        <v>2026</v>
      </c>
      <c r="B146" s="1553">
        <f>'Input data'!B126</f>
        <v>63.420999999999999</v>
      </c>
      <c r="C146" s="1552">
        <f>'Input data'!C126</f>
        <v>3341.28</v>
      </c>
      <c r="D146" s="1552">
        <f>'Input data'!D126</f>
        <v>39969673.998818383</v>
      </c>
      <c r="E146" s="1510">
        <f>'Input data'!J126*C146</f>
        <v>40160.079014064147</v>
      </c>
      <c r="F146" s="1511">
        <f>'Input data'!L126</f>
        <v>80129.753012882531</v>
      </c>
      <c r="G146" s="1511">
        <f t="shared" si="124"/>
        <v>42354.812990240433</v>
      </c>
      <c r="H146" s="1511">
        <f t="shared" si="125"/>
        <v>18198.957229134634</v>
      </c>
      <c r="I146" s="1513">
        <f t="shared" si="99"/>
        <v>39969.673998818384</v>
      </c>
      <c r="J146" s="417">
        <f t="shared" si="100"/>
        <v>0.13917062141024203</v>
      </c>
      <c r="K146" s="1514">
        <f t="shared" si="126"/>
        <v>3102.5613209670646</v>
      </c>
      <c r="L146" s="1514">
        <f t="shared" si="101"/>
        <v>0</v>
      </c>
      <c r="M146" s="1511">
        <f t="shared" si="127"/>
        <v>3102.5613209670646</v>
      </c>
      <c r="N146" s="1456">
        <f>($N$147-$N$142)/($A$107-$A$102)+N145</f>
        <v>0.44999999999999996</v>
      </c>
      <c r="O146" s="1513">
        <f t="shared" si="102"/>
        <v>676.72530000000006</v>
      </c>
      <c r="P146" s="1698">
        <f t="shared" si="130"/>
        <v>3779.2866209670647</v>
      </c>
      <c r="Q146" s="1366">
        <f t="shared" si="103"/>
        <v>56774.483598407998</v>
      </c>
      <c r="R146" s="1366">
        <f t="shared" si="128"/>
        <v>14419.670608167566</v>
      </c>
      <c r="S146" s="1091">
        <f t="shared" si="104"/>
        <v>0.64467312265397958</v>
      </c>
      <c r="T146" s="135" t="str">
        <f t="shared" si="105"/>
        <v>Yes</v>
      </c>
      <c r="U146" s="1091">
        <f t="shared" si="106"/>
        <v>0.64467312265397958</v>
      </c>
      <c r="V146" s="1496">
        <f t="shared" si="97"/>
        <v>65710.082404714965</v>
      </c>
      <c r="W146" s="1493">
        <f t="shared" si="98"/>
        <v>0.17995401291015212</v>
      </c>
      <c r="X146" s="527">
        <f t="shared" si="107"/>
        <v>42354.812990240433</v>
      </c>
      <c r="Y146" s="1511">
        <f t="shared" si="108"/>
        <v>8778.5488461171335</v>
      </c>
      <c r="Z146" s="528">
        <f t="shared" si="109"/>
        <v>2491.5390682324214</v>
      </c>
      <c r="AA146" s="528">
        <f t="shared" si="110"/>
        <v>0</v>
      </c>
      <c r="AB146" s="528">
        <f t="shared" si="111"/>
        <v>12085.18150012498</v>
      </c>
      <c r="AC146" s="528">
        <f t="shared" si="112"/>
        <v>65710.082404714965</v>
      </c>
      <c r="AD146" s="1489">
        <f t="shared" si="113"/>
        <v>0</v>
      </c>
      <c r="AE146" s="417">
        <f t="shared" si="114"/>
        <v>0.64457099185134037</v>
      </c>
      <c r="AF146" s="417">
        <f t="shared" si="115"/>
        <v>0.13359515807709954</v>
      </c>
      <c r="AG146" s="417">
        <f t="shared" si="116"/>
        <v>3.7917150261458865E-2</v>
      </c>
      <c r="AH146" s="417">
        <f t="shared" si="129"/>
        <v>0</v>
      </c>
      <c r="AI146" s="417">
        <f t="shared" si="117"/>
        <v>0.18391669981010128</v>
      </c>
      <c r="AJ146" s="525">
        <f t="shared" si="118"/>
        <v>1</v>
      </c>
      <c r="AK146" s="1499">
        <f t="shared" si="119"/>
        <v>34407.069630838036</v>
      </c>
      <c r="AL146" s="1500">
        <f t="shared" si="120"/>
        <v>7616.050500696083</v>
      </c>
      <c r="AM146" s="1500">
        <f t="shared" si="121"/>
        <v>331.69285870631273</v>
      </c>
      <c r="AN146" s="1500">
        <f t="shared" si="122"/>
        <v>42354.812990240433</v>
      </c>
      <c r="AO146" s="1565">
        <f t="shared" si="123"/>
        <v>0</v>
      </c>
    </row>
    <row r="147" spans="1:41">
      <c r="A147" s="873">
        <f>'Input data'!A127</f>
        <v>2027</v>
      </c>
      <c r="B147" s="1553">
        <f>'Input data'!B127</f>
        <v>64.046000000000006</v>
      </c>
      <c r="C147" s="1552">
        <f>'Input data'!C127</f>
        <v>3416.2799999999997</v>
      </c>
      <c r="D147" s="1552">
        <f>'Input data'!D127</f>
        <v>38984244.802724026</v>
      </c>
      <c r="E147" s="1510">
        <f>'Input data'!J127*C147</f>
        <v>41061.531728609109</v>
      </c>
      <c r="F147" s="1511">
        <f>'Input data'!L127</f>
        <v>80045.776531333133</v>
      </c>
      <c r="G147" s="1511">
        <f t="shared" si="124"/>
        <v>40155.6458200876</v>
      </c>
      <c r="H147" s="1511">
        <f t="shared" si="125"/>
        <v>19990.606127472747</v>
      </c>
      <c r="I147" s="1513">
        <f t="shared" si="99"/>
        <v>38984.244802724024</v>
      </c>
      <c r="J147" s="417">
        <f t="shared" si="100"/>
        <v>0.15237656310721223</v>
      </c>
      <c r="K147" s="1514">
        <f t="shared" si="126"/>
        <v>3540.893129921265</v>
      </c>
      <c r="L147" s="1514">
        <f t="shared" si="101"/>
        <v>0</v>
      </c>
      <c r="M147" s="1511">
        <f t="shared" si="127"/>
        <v>3540.893129921265</v>
      </c>
      <c r="N147" s="1456">
        <f>$C$27</f>
        <v>0.5</v>
      </c>
      <c r="O147" s="1513">
        <f t="shared" si="102"/>
        <v>751.91700000000026</v>
      </c>
      <c r="P147" s="1698">
        <f t="shared" si="130"/>
        <v>4292.8101299212649</v>
      </c>
      <c r="Q147" s="1366">
        <f t="shared" si="103"/>
        <v>55853.441817639083</v>
      </c>
      <c r="R147" s="1366">
        <f t="shared" si="128"/>
        <v>15697.795997551482</v>
      </c>
      <c r="S147" s="1091">
        <f t="shared" si="104"/>
        <v>0.68821360446667523</v>
      </c>
      <c r="T147" s="135" t="str">
        <f t="shared" si="105"/>
        <v>Yes</v>
      </c>
      <c r="U147" s="1091">
        <f t="shared" si="106"/>
        <v>0.68821360446667523</v>
      </c>
      <c r="V147" s="1496">
        <f t="shared" si="97"/>
        <v>64347.980533781658</v>
      </c>
      <c r="W147" s="1493">
        <f t="shared" si="98"/>
        <v>0.19611023439077668</v>
      </c>
      <c r="X147" s="527">
        <f t="shared" si="107"/>
        <v>40155.6458200876</v>
      </c>
      <c r="Y147" s="1511">
        <f t="shared" si="108"/>
        <v>9228.4163742720357</v>
      </c>
      <c r="Z147" s="528">
        <f t="shared" si="109"/>
        <v>2607.4669629294931</v>
      </c>
      <c r="AA147" s="528">
        <f t="shared" si="110"/>
        <v>0</v>
      </c>
      <c r="AB147" s="528">
        <f t="shared" si="111"/>
        <v>12356.45137649253</v>
      </c>
      <c r="AC147" s="528">
        <f t="shared" si="112"/>
        <v>64347.980533781658</v>
      </c>
      <c r="AD147" s="1489">
        <f t="shared" si="113"/>
        <v>0</v>
      </c>
      <c r="AE147" s="417">
        <f t="shared" si="114"/>
        <v>0.62403894398840587</v>
      </c>
      <c r="AF147" s="417">
        <f t="shared" si="115"/>
        <v>0.14341423456836017</v>
      </c>
      <c r="AG147" s="417">
        <f t="shared" si="116"/>
        <v>4.0521348786705352E-2</v>
      </c>
      <c r="AH147" s="417">
        <f t="shared" si="129"/>
        <v>0</v>
      </c>
      <c r="AI147" s="417">
        <f t="shared" si="117"/>
        <v>0.1920254726565287</v>
      </c>
      <c r="AJ147" s="525">
        <f t="shared" si="118"/>
        <v>1</v>
      </c>
      <c r="AK147" s="1499">
        <f t="shared" si="119"/>
        <v>33043.959564354736</v>
      </c>
      <c r="AL147" s="1500">
        <f t="shared" si="120"/>
        <v>6832.8125172216696</v>
      </c>
      <c r="AM147" s="1500">
        <f t="shared" si="121"/>
        <v>278.87373851119378</v>
      </c>
      <c r="AN147" s="1500">
        <f t="shared" si="122"/>
        <v>40155.6458200876</v>
      </c>
      <c r="AO147" s="1565">
        <f t="shared" si="123"/>
        <v>0</v>
      </c>
    </row>
    <row r="148" spans="1:41">
      <c r="A148" s="873">
        <f>'Input data'!A128</f>
        <v>2028</v>
      </c>
      <c r="B148" s="1553">
        <f>'Input data'!B128</f>
        <v>64.676000000000002</v>
      </c>
      <c r="C148" s="1552">
        <f>'Input data'!C128</f>
        <v>3494.8800000000006</v>
      </c>
      <c r="D148" s="1552">
        <f>'Input data'!D128</f>
        <v>37998815.60662967</v>
      </c>
      <c r="E148" s="1510">
        <f>'Input data'!J128*C148</f>
        <v>42006.254173452246</v>
      </c>
      <c r="F148" s="1511">
        <f>'Input data'!L128</f>
        <v>80005.069780081918</v>
      </c>
      <c r="G148" s="1511">
        <f t="shared" si="124"/>
        <v>38070.664875792791</v>
      </c>
      <c r="H148" s="1511">
        <f t="shared" si="125"/>
        <v>21692.897279267141</v>
      </c>
      <c r="I148" s="1513">
        <f t="shared" si="99"/>
        <v>37998.815606629672</v>
      </c>
      <c r="J148" s="417">
        <f t="shared" si="100"/>
        <v>0.16683562054324133</v>
      </c>
      <c r="K148" s="1514">
        <f t="shared" si="126"/>
        <v>4000.814811757502</v>
      </c>
      <c r="L148" s="1514">
        <f t="shared" si="101"/>
        <v>0</v>
      </c>
      <c r="M148" s="1511">
        <f t="shared" si="127"/>
        <v>4000.814811757502</v>
      </c>
      <c r="N148" s="1456">
        <f>N147</f>
        <v>0.5</v>
      </c>
      <c r="O148" s="1513">
        <f t="shared" si="102"/>
        <v>751.91700000000026</v>
      </c>
      <c r="P148" s="1698">
        <f t="shared" si="130"/>
        <v>4752.7318117575023</v>
      </c>
      <c r="Q148" s="1366">
        <f t="shared" si="103"/>
        <v>55010.830343302427</v>
      </c>
      <c r="R148" s="1366">
        <f t="shared" si="128"/>
        <v>16940.165467509636</v>
      </c>
      <c r="S148" s="1091">
        <f t="shared" si="104"/>
        <v>0.72544008588786868</v>
      </c>
      <c r="T148" s="135" t="str">
        <f t="shared" si="105"/>
        <v>Yes</v>
      </c>
      <c r="U148" s="1091">
        <f t="shared" si="106"/>
        <v>0.72544008588786868</v>
      </c>
      <c r="V148" s="1496">
        <f t="shared" si="97"/>
        <v>63064.904312572282</v>
      </c>
      <c r="W148" s="1493">
        <f t="shared" si="98"/>
        <v>0.21173864998899183</v>
      </c>
      <c r="X148" s="527">
        <f t="shared" si="107"/>
        <v>38070.664875792791</v>
      </c>
      <c r="Y148" s="1511">
        <f t="shared" si="108"/>
        <v>9703.3387348817432</v>
      </c>
      <c r="Z148" s="528">
        <f t="shared" si="109"/>
        <v>2650.1584949720245</v>
      </c>
      <c r="AA148" s="528">
        <f t="shared" si="110"/>
        <v>0</v>
      </c>
      <c r="AB148" s="528">
        <f t="shared" si="111"/>
        <v>12640.742206925726</v>
      </c>
      <c r="AC148" s="528">
        <f t="shared" si="112"/>
        <v>63064.904312572282</v>
      </c>
      <c r="AD148" s="1489">
        <f t="shared" si="113"/>
        <v>0</v>
      </c>
      <c r="AE148" s="1506">
        <f t="shared" si="114"/>
        <v>0.60367434614823046</v>
      </c>
      <c r="AF148" s="1506">
        <f t="shared" si="115"/>
        <v>0.15386273618665172</v>
      </c>
      <c r="AG148" s="1506">
        <f t="shared" si="116"/>
        <v>4.2022714913462621E-2</v>
      </c>
      <c r="AH148" s="1506">
        <f t="shared" si="129"/>
        <v>0</v>
      </c>
      <c r="AI148" s="1506">
        <f t="shared" si="117"/>
        <v>0.20044020275165525</v>
      </c>
      <c r="AJ148" s="1543">
        <f t="shared" si="118"/>
        <v>1</v>
      </c>
      <c r="AK148" s="1557">
        <f t="shared" si="119"/>
        <v>31659.259624989405</v>
      </c>
      <c r="AL148" s="1500">
        <f t="shared" si="120"/>
        <v>6155.4283926418257</v>
      </c>
      <c r="AM148" s="1500">
        <f t="shared" si="121"/>
        <v>255.97685816155689</v>
      </c>
      <c r="AN148" s="1500">
        <f t="shared" si="122"/>
        <v>38070.664875792791</v>
      </c>
      <c r="AO148" s="1565">
        <f t="shared" si="123"/>
        <v>0</v>
      </c>
    </row>
    <row r="149" spans="1:41">
      <c r="A149" s="873">
        <f>'Input data'!A129</f>
        <v>2029</v>
      </c>
      <c r="B149" s="1553">
        <f>'Input data'!B129</f>
        <v>65.313000000000002</v>
      </c>
      <c r="C149" s="1552">
        <f>'Input data'!C129</f>
        <v>3576.08</v>
      </c>
      <c r="D149" s="1552">
        <f>'Input data'!D129</f>
        <v>37013386.410535313</v>
      </c>
      <c r="E149" s="1510">
        <f>'Input data'!J129*C149</f>
        <v>42982.226979066254</v>
      </c>
      <c r="F149" s="1511">
        <f>'Input data'!L129</f>
        <v>79995.613389601567</v>
      </c>
      <c r="G149" s="1511">
        <f t="shared" si="124"/>
        <v>36093.941324681233</v>
      </c>
      <c r="H149" s="1511">
        <f t="shared" si="125"/>
        <v>23304.862717383032</v>
      </c>
      <c r="I149" s="1513">
        <f t="shared" si="99"/>
        <v>37013.386410535313</v>
      </c>
      <c r="J149" s="1506">
        <f>$J$137*(1+((($J$150/$J$137)^(1/($A$150-$A$137)))-1))^(A149-$A$137)</f>
        <v>0.18266670224386344</v>
      </c>
      <c r="K149" s="1514">
        <f t="shared" si="126"/>
        <v>4483.0230031728133</v>
      </c>
      <c r="L149" s="1514">
        <f t="shared" si="101"/>
        <v>0</v>
      </c>
      <c r="M149" s="1511">
        <f t="shared" si="127"/>
        <v>4483.0230031728133</v>
      </c>
      <c r="N149" s="1456">
        <f t="shared" ref="N149:N170" si="131">N148</f>
        <v>0.5</v>
      </c>
      <c r="O149" s="1513">
        <f t="shared" si="102"/>
        <v>751.91700000000026</v>
      </c>
      <c r="P149" s="1698">
        <f t="shared" si="130"/>
        <v>5234.9400031728137</v>
      </c>
      <c r="Q149" s="1366">
        <f t="shared" si="103"/>
        <v>54163.86403889145</v>
      </c>
      <c r="R149" s="1366">
        <f t="shared" si="128"/>
        <v>18069.922714210217</v>
      </c>
      <c r="S149" s="1091">
        <f t="shared" si="104"/>
        <v>0.75569721888672192</v>
      </c>
      <c r="T149" s="135" t="str">
        <f t="shared" si="105"/>
        <v>Yes</v>
      </c>
      <c r="U149" s="1091">
        <f t="shared" si="106"/>
        <v>0.75569721888672192</v>
      </c>
      <c r="V149" s="1496">
        <f t="shared" si="97"/>
        <v>61925.69067539135</v>
      </c>
      <c r="W149" s="1493">
        <f t="shared" si="98"/>
        <v>0.22588641987410629</v>
      </c>
      <c r="X149" s="527">
        <f t="shared" si="107"/>
        <v>36093.941324681233</v>
      </c>
      <c r="Y149" s="1511">
        <f t="shared" si="108"/>
        <v>10203.050075873076</v>
      </c>
      <c r="Z149" s="528">
        <f t="shared" si="109"/>
        <v>2694.2622150973871</v>
      </c>
      <c r="AA149" s="528">
        <f t="shared" si="110"/>
        <v>0</v>
      </c>
      <c r="AB149" s="528">
        <f t="shared" si="111"/>
        <v>12934.437059739659</v>
      </c>
      <c r="AC149" s="528">
        <f t="shared" si="112"/>
        <v>61925.69067539135</v>
      </c>
      <c r="AD149" s="1489">
        <f t="shared" si="113"/>
        <v>0</v>
      </c>
      <c r="AE149" s="1506">
        <f t="shared" si="114"/>
        <v>0.58285892221828062</v>
      </c>
      <c r="AF149" s="1506">
        <f t="shared" si="115"/>
        <v>0.16476279819560682</v>
      </c>
      <c r="AG149" s="1506">
        <f t="shared" si="116"/>
        <v>4.3507988134043697E-2</v>
      </c>
      <c r="AH149" s="1506">
        <f t="shared" si="129"/>
        <v>0</v>
      </c>
      <c r="AI149" s="1506">
        <f t="shared" si="117"/>
        <v>0.20887029145206895</v>
      </c>
      <c r="AJ149" s="1543">
        <f t="shared" si="118"/>
        <v>1</v>
      </c>
      <c r="AK149" s="1557">
        <f t="shared" si="119"/>
        <v>30252.273176044997</v>
      </c>
      <c r="AL149" s="1500">
        <f t="shared" si="120"/>
        <v>5604.3406008193479</v>
      </c>
      <c r="AM149" s="1500">
        <f t="shared" si="121"/>
        <v>237.32754781688837</v>
      </c>
      <c r="AN149" s="1500">
        <f t="shared" si="122"/>
        <v>36093.941324681233</v>
      </c>
      <c r="AO149" s="1565">
        <f t="shared" si="123"/>
        <v>0</v>
      </c>
    </row>
    <row r="150" spans="1:41" s="1153" customFormat="1">
      <c r="A150" s="1567">
        <f>'Input data'!A130</f>
        <v>2030</v>
      </c>
      <c r="B150" s="1553">
        <f>'Input data'!B130</f>
        <v>65.956000000000003</v>
      </c>
      <c r="C150" s="1552">
        <f>'Input data'!C130</f>
        <v>3660.12</v>
      </c>
      <c r="D150" s="1552">
        <f>'Input data'!D130</f>
        <v>36027957.214440949</v>
      </c>
      <c r="E150" s="1510">
        <f>'Input data'!J130*C150</f>
        <v>43992.334794137714</v>
      </c>
      <c r="F150" s="1511">
        <f>'Input data'!L130</f>
        <v>80020.292008578661</v>
      </c>
      <c r="G150" s="1511">
        <f>G137*(1-$C$4)</f>
        <v>34219.854173807704</v>
      </c>
      <c r="H150" s="1511">
        <f t="shared" si="125"/>
        <v>24833.77866671994</v>
      </c>
      <c r="I150" s="1513">
        <f t="shared" si="99"/>
        <v>36027.957214440947</v>
      </c>
      <c r="J150" s="1506">
        <v>0.2</v>
      </c>
      <c r="K150" s="1514">
        <f t="shared" si="126"/>
        <v>4988.1521501359475</v>
      </c>
      <c r="L150" s="1514">
        <f t="shared" si="101"/>
        <v>0</v>
      </c>
      <c r="M150" s="1511">
        <f t="shared" si="127"/>
        <v>4988.1521501359475</v>
      </c>
      <c r="N150" s="1456">
        <f t="shared" si="131"/>
        <v>0.5</v>
      </c>
      <c r="O150" s="1513">
        <f t="shared" si="102"/>
        <v>751.91700000000026</v>
      </c>
      <c r="P150" s="1698">
        <f t="shared" si="130"/>
        <v>5740.0691501359479</v>
      </c>
      <c r="Q150" s="1366">
        <f t="shared" si="103"/>
        <v>53313.563690391697</v>
      </c>
      <c r="R150" s="1366">
        <f t="shared" si="128"/>
        <v>19093.709516583993</v>
      </c>
      <c r="S150" s="1091">
        <f t="shared" si="104"/>
        <v>0.77961517357617172</v>
      </c>
      <c r="T150" s="135" t="str">
        <f t="shared" si="105"/>
        <v>Yes</v>
      </c>
      <c r="U150" s="1091">
        <f t="shared" si="106"/>
        <v>0.77961517357617172</v>
      </c>
      <c r="V150" s="1496">
        <f t="shared" si="97"/>
        <v>60926.582491994668</v>
      </c>
      <c r="W150" s="1493">
        <f t="shared" si="98"/>
        <v>0.2386108452908049</v>
      </c>
      <c r="X150" s="527">
        <f t="shared" si="107"/>
        <v>34219.854173807704</v>
      </c>
      <c r="Y150" s="1511">
        <f t="shared" si="108"/>
        <v>10728.415840519639</v>
      </c>
      <c r="Z150" s="528">
        <f t="shared" si="109"/>
        <v>2739.9084791286127</v>
      </c>
      <c r="AA150" s="528">
        <f t="shared" si="110"/>
        <v>0</v>
      </c>
      <c r="AB150" s="528">
        <f t="shared" si="111"/>
        <v>13238.403998538715</v>
      </c>
      <c r="AC150" s="528">
        <f t="shared" si="112"/>
        <v>60926.582491994668</v>
      </c>
      <c r="AD150" s="1489">
        <f t="shared" si="113"/>
        <v>0</v>
      </c>
      <c r="AE150" s="1506">
        <f t="shared" si="114"/>
        <v>0.56165720731675628</v>
      </c>
      <c r="AF150" s="1506">
        <f t="shared" si="115"/>
        <v>0.1760876025161805</v>
      </c>
      <c r="AG150" s="1506">
        <f t="shared" si="116"/>
        <v>4.4970657585933327E-2</v>
      </c>
      <c r="AH150" s="1506">
        <f t="shared" si="129"/>
        <v>0</v>
      </c>
      <c r="AI150" s="1506">
        <f t="shared" si="117"/>
        <v>0.21728453258112992</v>
      </c>
      <c r="AJ150" s="1543">
        <f t="shared" si="118"/>
        <v>1</v>
      </c>
      <c r="AK150" s="1557">
        <f t="shared" si="119"/>
        <v>28822.365771552759</v>
      </c>
      <c r="AL150" s="1500">
        <f t="shared" si="120"/>
        <v>5174.470304010003</v>
      </c>
      <c r="AM150" s="1500">
        <f t="shared" si="121"/>
        <v>223.01809824494129</v>
      </c>
      <c r="AN150" s="1500">
        <f t="shared" si="122"/>
        <v>34219.854173807704</v>
      </c>
      <c r="AO150" s="1565">
        <f t="shared" si="123"/>
        <v>0</v>
      </c>
    </row>
    <row r="151" spans="1:41">
      <c r="A151" s="873">
        <f>'Input data'!A131</f>
        <v>2031</v>
      </c>
      <c r="B151" s="1553">
        <f>'Input data'!B131</f>
        <v>66.519000000000005</v>
      </c>
      <c r="C151" s="1552">
        <f>'Input data'!C131</f>
        <v>3761.03</v>
      </c>
      <c r="D151" s="1552">
        <f>'Input data'!D131</f>
        <v>35846430.699385166</v>
      </c>
      <c r="E151" s="1510">
        <f>'Input data'!J131*C151</f>
        <v>45205.209373134152</v>
      </c>
      <c r="F151" s="1511">
        <f>'Input data'!L131</f>
        <v>81051.640072519309</v>
      </c>
      <c r="G151" s="1511">
        <f>$G$150*(1+((($G$160/$G$150)^(1/($A$160-$A$150)))-1))^(A151-$A$150)</f>
        <v>33020.827958397946</v>
      </c>
      <c r="H151" s="1511">
        <f t="shared" si="125"/>
        <v>26558.406982349843</v>
      </c>
      <c r="I151" s="1513">
        <f t="shared" si="99"/>
        <v>35846.430699385164</v>
      </c>
      <c r="J151" s="1506">
        <f t="shared" ref="J151:J170" si="132">J150</f>
        <v>0.2</v>
      </c>
      <c r="K151" s="1514">
        <f t="shared" si="126"/>
        <v>4963.0193936215364</v>
      </c>
      <c r="L151" s="1514">
        <f t="shared" si="101"/>
        <v>0</v>
      </c>
      <c r="M151" s="1511">
        <f t="shared" si="127"/>
        <v>4963.0193936215364</v>
      </c>
      <c r="N151" s="1456">
        <f t="shared" si="131"/>
        <v>0.5</v>
      </c>
      <c r="O151" s="1513">
        <f t="shared" si="102"/>
        <v>751.91700000000026</v>
      </c>
      <c r="P151" s="1698">
        <f t="shared" si="130"/>
        <v>5714.9363936215368</v>
      </c>
      <c r="Q151" s="1366">
        <f t="shared" si="103"/>
        <v>53864.298547126251</v>
      </c>
      <c r="R151" s="1366">
        <f t="shared" si="128"/>
        <v>20843.470588728305</v>
      </c>
      <c r="S151" s="1091">
        <f t="shared" si="104"/>
        <v>0.82754369941815786</v>
      </c>
      <c r="T151" s="135" t="str">
        <f t="shared" si="105"/>
        <v>Yes</v>
      </c>
      <c r="U151" s="1091">
        <f t="shared" si="106"/>
        <v>0.82754369941815786</v>
      </c>
      <c r="V151" s="1496">
        <f t="shared" si="97"/>
        <v>60208.169483791018</v>
      </c>
      <c r="W151" s="1493">
        <f t="shared" si="98"/>
        <v>0.25716284790880262</v>
      </c>
      <c r="X151" s="527">
        <f t="shared" si="107"/>
        <v>33020.827958397946</v>
      </c>
      <c r="Y151" s="1511">
        <f t="shared" si="108"/>
        <v>10789.23527931066</v>
      </c>
      <c r="Z151" s="528">
        <f t="shared" si="109"/>
        <v>2794.7176712203664</v>
      </c>
      <c r="AA151" s="528">
        <f t="shared" si="110"/>
        <v>0</v>
      </c>
      <c r="AB151" s="528">
        <f t="shared" si="111"/>
        <v>13603.388574862045</v>
      </c>
      <c r="AC151" s="528">
        <f t="shared" si="112"/>
        <v>60208.169483791018</v>
      </c>
      <c r="AD151" s="1489">
        <f t="shared" si="113"/>
        <v>0</v>
      </c>
      <c r="AE151" s="1506">
        <f t="shared" si="114"/>
        <v>0.54844430982555725</v>
      </c>
      <c r="AF151" s="1506">
        <f t="shared" si="115"/>
        <v>0.17919885908863731</v>
      </c>
      <c r="AG151" s="1506">
        <f t="shared" si="116"/>
        <v>4.641758245071291E-2</v>
      </c>
      <c r="AH151" s="1506">
        <f t="shared" si="129"/>
        <v>0</v>
      </c>
      <c r="AI151" s="1506">
        <f t="shared" si="117"/>
        <v>0.22593924863509246</v>
      </c>
      <c r="AJ151" s="1543">
        <f t="shared" si="118"/>
        <v>1</v>
      </c>
      <c r="AK151" s="1557">
        <f t="shared" si="119"/>
        <v>28677.144559508131</v>
      </c>
      <c r="AL151" s="1500">
        <f t="shared" si="120"/>
        <v>4160.7799498018485</v>
      </c>
      <c r="AM151" s="1500">
        <f t="shared" si="121"/>
        <v>182.90344908796462</v>
      </c>
      <c r="AN151" s="1500">
        <f t="shared" si="122"/>
        <v>33020.827958397946</v>
      </c>
      <c r="AO151" s="1565">
        <f t="shared" si="123"/>
        <v>0</v>
      </c>
    </row>
    <row r="152" spans="1:41">
      <c r="A152" s="873">
        <f>'Input data'!A132</f>
        <v>2032</v>
      </c>
      <c r="B152" s="1553">
        <f>'Input data'!B132</f>
        <v>67.087000000000003</v>
      </c>
      <c r="C152" s="1552">
        <f>'Input data'!C132</f>
        <v>3857.2</v>
      </c>
      <c r="D152" s="1552">
        <f>'Input data'!D132</f>
        <v>35664904.184329376</v>
      </c>
      <c r="E152" s="1510">
        <f>'Input data'!J132*C152</f>
        <v>46361.112140571342</v>
      </c>
      <c r="F152" s="1511">
        <f>'Input data'!L132</f>
        <v>82026.016324900716</v>
      </c>
      <c r="G152" s="1511">
        <f t="shared" ref="G152:G159" si="133">$G$150*(1+((($G$160/$G$150)^(1/($A$160-$A$150)))-1))^(A152-$A$150)</f>
        <v>31863.814308498775</v>
      </c>
      <c r="H152" s="1511">
        <f t="shared" si="125"/>
        <v>28208.331901371996</v>
      </c>
      <c r="I152" s="1513">
        <f t="shared" si="99"/>
        <v>35664.904184329374</v>
      </c>
      <c r="J152" s="1506">
        <f t="shared" si="132"/>
        <v>0.2</v>
      </c>
      <c r="K152" s="1514">
        <f t="shared" si="126"/>
        <v>4937.8866371071235</v>
      </c>
      <c r="L152" s="1514">
        <f t="shared" si="101"/>
        <v>0</v>
      </c>
      <c r="M152" s="1511">
        <f t="shared" si="127"/>
        <v>4937.8866371071235</v>
      </c>
      <c r="N152" s="1456">
        <f t="shared" si="131"/>
        <v>0.5</v>
      </c>
      <c r="O152" s="1513">
        <f t="shared" si="102"/>
        <v>751.91700000000026</v>
      </c>
      <c r="P152" s="1698">
        <f t="shared" si="130"/>
        <v>5689.8036371071239</v>
      </c>
      <c r="Q152" s="1366">
        <f t="shared" si="103"/>
        <v>54382.34257276365</v>
      </c>
      <c r="R152" s="1366">
        <f t="shared" si="128"/>
        <v>22518.528264264874</v>
      </c>
      <c r="S152" s="1091">
        <f t="shared" si="104"/>
        <v>0.87110882295578751</v>
      </c>
      <c r="T152" s="135" t="str">
        <f t="shared" si="105"/>
        <v>Yes</v>
      </c>
      <c r="U152" s="1091">
        <f t="shared" si="106"/>
        <v>0.87110882295578751</v>
      </c>
      <c r="V152" s="1496">
        <f t="shared" si="97"/>
        <v>59507.488060635857</v>
      </c>
      <c r="W152" s="1493">
        <f t="shared" si="98"/>
        <v>0.27452909787877733</v>
      </c>
      <c r="X152" s="527">
        <f t="shared" si="107"/>
        <v>31863.814308498775</v>
      </c>
      <c r="Y152" s="1511">
        <f t="shared" si="108"/>
        <v>10845.492521330872</v>
      </c>
      <c r="Z152" s="528">
        <f t="shared" si="109"/>
        <v>2846.9523358072647</v>
      </c>
      <c r="AA152" s="528">
        <f t="shared" si="110"/>
        <v>0</v>
      </c>
      <c r="AB152" s="528">
        <f t="shared" si="111"/>
        <v>13951.228894998943</v>
      </c>
      <c r="AC152" s="528">
        <f t="shared" si="112"/>
        <v>59507.488060635857</v>
      </c>
      <c r="AD152" s="1489">
        <f t="shared" si="113"/>
        <v>0</v>
      </c>
      <c r="AE152" s="1506">
        <f t="shared" si="114"/>
        <v>0.53545890352539782</v>
      </c>
      <c r="AF152" s="1506">
        <f t="shared" si="115"/>
        <v>0.1822542485792667</v>
      </c>
      <c r="AG152" s="1506">
        <f t="shared" si="116"/>
        <v>4.7841917523158244E-2</v>
      </c>
      <c r="AH152" s="1506">
        <f t="shared" si="129"/>
        <v>0</v>
      </c>
      <c r="AI152" s="1506">
        <f t="shared" si="117"/>
        <v>0.23444493037217726</v>
      </c>
      <c r="AJ152" s="1543">
        <f t="shared" si="118"/>
        <v>1</v>
      </c>
      <c r="AK152" s="1557">
        <f t="shared" si="119"/>
        <v>28531.9233474635</v>
      </c>
      <c r="AL152" s="1500">
        <f t="shared" si="120"/>
        <v>3189.2181902931839</v>
      </c>
      <c r="AM152" s="1500">
        <f t="shared" si="121"/>
        <v>142.67277074209056</v>
      </c>
      <c r="AN152" s="1500">
        <f t="shared" si="122"/>
        <v>31863.814308498775</v>
      </c>
      <c r="AO152" s="1565">
        <f t="shared" si="123"/>
        <v>0</v>
      </c>
    </row>
    <row r="153" spans="1:41">
      <c r="A153" s="873">
        <f>'Input data'!A133</f>
        <v>2033</v>
      </c>
      <c r="B153" s="1553">
        <f>'Input data'!B133</f>
        <v>67.659000000000006</v>
      </c>
      <c r="C153" s="1552">
        <f>'Input data'!C133</f>
        <v>3964.01</v>
      </c>
      <c r="D153" s="1552">
        <f>'Input data'!D133</f>
        <v>35483377.6692736</v>
      </c>
      <c r="E153" s="1510">
        <f>'Input data'!J133*C153</f>
        <v>47644.900999778656</v>
      </c>
      <c r="F153" s="1511">
        <f>'Input data'!L133</f>
        <v>83128.278669052263</v>
      </c>
      <c r="G153" s="1511">
        <f t="shared" si="133"/>
        <v>30747.341149823493</v>
      </c>
      <c r="H153" s="1511">
        <f t="shared" si="125"/>
        <v>29891.098279143625</v>
      </c>
      <c r="I153" s="1513">
        <f t="shared" si="99"/>
        <v>35483.377669273599</v>
      </c>
      <c r="J153" s="1506">
        <f t="shared" si="132"/>
        <v>0.2</v>
      </c>
      <c r="K153" s="1514">
        <f t="shared" si="126"/>
        <v>4912.7538805927124</v>
      </c>
      <c r="L153" s="1514">
        <f t="shared" si="101"/>
        <v>0</v>
      </c>
      <c r="M153" s="1511">
        <f t="shared" si="127"/>
        <v>4912.7538805927124</v>
      </c>
      <c r="N153" s="1456">
        <f t="shared" si="131"/>
        <v>0.5</v>
      </c>
      <c r="O153" s="1513">
        <f t="shared" si="102"/>
        <v>751.91700000000026</v>
      </c>
      <c r="P153" s="1698">
        <f t="shared" si="130"/>
        <v>5664.6708805927128</v>
      </c>
      <c r="Q153" s="1366">
        <f t="shared" si="103"/>
        <v>54973.768548374406</v>
      </c>
      <c r="R153" s="1366">
        <f t="shared" si="128"/>
        <v>24226.427398550913</v>
      </c>
      <c r="S153" s="1091">
        <f t="shared" si="104"/>
        <v>0.91121100095291807</v>
      </c>
      <c r="T153" s="135" t="str">
        <f t="shared" si="105"/>
        <v>Yes</v>
      </c>
      <c r="U153" s="1091">
        <f t="shared" si="106"/>
        <v>0.91121100095291807</v>
      </c>
      <c r="V153" s="1496">
        <f t="shared" si="97"/>
        <v>58901.851270501356</v>
      </c>
      <c r="W153" s="1493">
        <f t="shared" si="98"/>
        <v>0.29143424820572084</v>
      </c>
      <c r="X153" s="527">
        <f t="shared" si="107"/>
        <v>30747.341149823493</v>
      </c>
      <c r="Y153" s="1511">
        <f t="shared" si="108"/>
        <v>10911.990643866153</v>
      </c>
      <c r="Z153" s="528">
        <f t="shared" si="109"/>
        <v>2904.9661085485213</v>
      </c>
      <c r="AA153" s="528">
        <f t="shared" si="110"/>
        <v>0</v>
      </c>
      <c r="AB153" s="528">
        <f t="shared" si="111"/>
        <v>14337.553368263189</v>
      </c>
      <c r="AC153" s="528">
        <f t="shared" si="112"/>
        <v>58901.851270501356</v>
      </c>
      <c r="AD153" s="1489">
        <f t="shared" si="113"/>
        <v>0</v>
      </c>
      <c r="AE153" s="1506">
        <f t="shared" si="114"/>
        <v>0.52200975837956509</v>
      </c>
      <c r="AF153" s="1506">
        <f t="shared" si="115"/>
        <v>0.18525717627708907</v>
      </c>
      <c r="AG153" s="1506">
        <f t="shared" si="116"/>
        <v>4.9318757320677926E-2</v>
      </c>
      <c r="AH153" s="1506">
        <f t="shared" si="129"/>
        <v>0</v>
      </c>
      <c r="AI153" s="1506">
        <f t="shared" si="117"/>
        <v>0.24341430802266789</v>
      </c>
      <c r="AJ153" s="1543">
        <f t="shared" si="118"/>
        <v>1</v>
      </c>
      <c r="AK153" s="1557">
        <f t="shared" si="119"/>
        <v>28386.702135418884</v>
      </c>
      <c r="AL153" s="1500">
        <f t="shared" si="120"/>
        <v>2257.7860540620281</v>
      </c>
      <c r="AM153" s="1500">
        <f t="shared" si="121"/>
        <v>102.85296034258315</v>
      </c>
      <c r="AN153" s="1500">
        <f t="shared" si="122"/>
        <v>30747.341149823493</v>
      </c>
      <c r="AO153" s="1565">
        <f t="shared" si="123"/>
        <v>0</v>
      </c>
    </row>
    <row r="154" spans="1:41">
      <c r="A154" s="873">
        <f>'Input data'!A134</f>
        <v>2034</v>
      </c>
      <c r="B154" s="1553">
        <f>'Input data'!B134</f>
        <v>68.236999999999995</v>
      </c>
      <c r="C154" s="1552">
        <f>'Input data'!C134</f>
        <v>4078.22</v>
      </c>
      <c r="D154" s="1552">
        <f>'Input data'!D134</f>
        <v>35301851.154217809</v>
      </c>
      <c r="E154" s="1510">
        <f>'Input data'!J134*C154</f>
        <v>49017.633193487723</v>
      </c>
      <c r="F154" s="1511">
        <f>'Input data'!L134</f>
        <v>84319.484347705526</v>
      </c>
      <c r="G154" s="1511">
        <f t="shared" si="133"/>
        <v>29669.987987956312</v>
      </c>
      <c r="H154" s="1511">
        <f t="shared" si="125"/>
        <v>31585.78097869761</v>
      </c>
      <c r="I154" s="1513">
        <f t="shared" si="99"/>
        <v>35301.851154217809</v>
      </c>
      <c r="J154" s="1506">
        <f t="shared" si="132"/>
        <v>0.2</v>
      </c>
      <c r="K154" s="1514">
        <f t="shared" si="126"/>
        <v>4887.6211240782995</v>
      </c>
      <c r="L154" s="1514">
        <f t="shared" si="101"/>
        <v>0</v>
      </c>
      <c r="M154" s="1511">
        <f t="shared" si="127"/>
        <v>4887.6211240782995</v>
      </c>
      <c r="N154" s="1456">
        <f t="shared" si="131"/>
        <v>0.5</v>
      </c>
      <c r="O154" s="1513">
        <f t="shared" si="102"/>
        <v>751.91700000000026</v>
      </c>
      <c r="P154" s="1698">
        <f t="shared" si="130"/>
        <v>5639.5381240782999</v>
      </c>
      <c r="Q154" s="1366">
        <f t="shared" si="103"/>
        <v>55616.23084257562</v>
      </c>
      <c r="R154" s="1366">
        <f t="shared" si="128"/>
        <v>25946.242854619308</v>
      </c>
      <c r="S154" s="1091">
        <f t="shared" si="104"/>
        <v>0.94781661681665008</v>
      </c>
      <c r="T154" s="135" t="str">
        <f t="shared" si="105"/>
        <v>Yes</v>
      </c>
      <c r="U154" s="1091">
        <f t="shared" si="106"/>
        <v>0.94781661681665008</v>
      </c>
      <c r="V154" s="1496">
        <f t="shared" si="97"/>
        <v>58373.241493086229</v>
      </c>
      <c r="W154" s="1493">
        <f t="shared" si="98"/>
        <v>0.30771349060468178</v>
      </c>
      <c r="X154" s="527">
        <f t="shared" si="107"/>
        <v>29669.987987956312</v>
      </c>
      <c r="Y154" s="1511">
        <f t="shared" si="108"/>
        <v>10985.611183301004</v>
      </c>
      <c r="Z154" s="528">
        <f t="shared" si="109"/>
        <v>2966.9991858332214</v>
      </c>
      <c r="AA154" s="528">
        <f t="shared" si="110"/>
        <v>0</v>
      </c>
      <c r="AB154" s="528">
        <f t="shared" si="111"/>
        <v>14750.643135995693</v>
      </c>
      <c r="AC154" s="528">
        <f t="shared" si="112"/>
        <v>58373.241493086229</v>
      </c>
      <c r="AD154" s="1489">
        <f t="shared" si="113"/>
        <v>0</v>
      </c>
      <c r="AE154" s="1506">
        <f t="shared" si="114"/>
        <v>0.50828063045754357</v>
      </c>
      <c r="AF154" s="1506">
        <f t="shared" si="115"/>
        <v>0.1881960107458166</v>
      </c>
      <c r="AG154" s="1506">
        <f t="shared" si="116"/>
        <v>5.0828069676148363E-2</v>
      </c>
      <c r="AH154" s="1506">
        <f t="shared" si="129"/>
        <v>0</v>
      </c>
      <c r="AI154" s="1506">
        <f t="shared" si="117"/>
        <v>0.25269528912049144</v>
      </c>
      <c r="AJ154" s="1543">
        <f t="shared" si="118"/>
        <v>1</v>
      </c>
      <c r="AK154" s="1557">
        <f t="shared" si="119"/>
        <v>28241.480923374249</v>
      </c>
      <c r="AL154" s="1500">
        <f t="shared" si="120"/>
        <v>1365.1858145632605</v>
      </c>
      <c r="AM154" s="1500">
        <f t="shared" si="121"/>
        <v>63.321250018801862</v>
      </c>
      <c r="AN154" s="1500">
        <f t="shared" si="122"/>
        <v>29669.987987956312</v>
      </c>
      <c r="AO154" s="1565">
        <f t="shared" si="123"/>
        <v>0</v>
      </c>
    </row>
    <row r="155" spans="1:41">
      <c r="A155" s="873">
        <f>'Input data'!A135</f>
        <v>2035</v>
      </c>
      <c r="B155" s="1553">
        <f>'Input data'!B135</f>
        <v>68.819000000000003</v>
      </c>
      <c r="C155" s="1552">
        <f>'Input data'!C135</f>
        <v>4200.2899999999991</v>
      </c>
      <c r="D155" s="1552">
        <f>'Input data'!D135</f>
        <v>35120324.639162026</v>
      </c>
      <c r="E155" s="1510">
        <f>'Input data'!J135*C155</f>
        <v>50484.837631681105</v>
      </c>
      <c r="F155" s="1511">
        <f>'Input data'!L135</f>
        <v>85605.162270843139</v>
      </c>
      <c r="G155" s="1511">
        <f t="shared" si="133"/>
        <v>28630.384101050156</v>
      </c>
      <c r="H155" s="1511">
        <f t="shared" si="125"/>
        <v>33296.92324979345</v>
      </c>
      <c r="I155" s="1513">
        <f t="shared" si="99"/>
        <v>35120.324639162027</v>
      </c>
      <c r="J155" s="1506">
        <f t="shared" si="132"/>
        <v>0.2</v>
      </c>
      <c r="K155" s="1514">
        <f t="shared" si="126"/>
        <v>4862.4883675638885</v>
      </c>
      <c r="L155" s="1514">
        <f t="shared" si="101"/>
        <v>0</v>
      </c>
      <c r="M155" s="1511">
        <f t="shared" si="127"/>
        <v>4862.4883675638885</v>
      </c>
      <c r="N155" s="1456">
        <f t="shared" si="131"/>
        <v>0.5</v>
      </c>
      <c r="O155" s="1513">
        <f t="shared" si="102"/>
        <v>751.91700000000026</v>
      </c>
      <c r="P155" s="1698">
        <f t="shared" si="130"/>
        <v>5614.4053675638888</v>
      </c>
      <c r="Q155" s="1366">
        <f t="shared" si="103"/>
        <v>56312.90198327972</v>
      </c>
      <c r="R155" s="1366">
        <f t="shared" si="128"/>
        <v>27682.517882229564</v>
      </c>
      <c r="S155" s="1091">
        <f t="shared" si="104"/>
        <v>0.98107059002369312</v>
      </c>
      <c r="T155" s="135" t="str">
        <f t="shared" si="105"/>
        <v>Yes</v>
      </c>
      <c r="U155" s="1091">
        <f t="shared" si="106"/>
        <v>0.98107059002369312</v>
      </c>
      <c r="V155" s="1496">
        <f t="shared" si="97"/>
        <v>57922.644388613568</v>
      </c>
      <c r="W155" s="1493">
        <f t="shared" si="98"/>
        <v>0.3233743987850386</v>
      </c>
      <c r="X155" s="527">
        <f t="shared" si="107"/>
        <v>28630.384101050156</v>
      </c>
      <c r="Y155" s="1511">
        <f t="shared" si="108"/>
        <v>11066.796884469728</v>
      </c>
      <c r="Z155" s="528">
        <f t="shared" si="109"/>
        <v>3033.3014163221746</v>
      </c>
      <c r="AA155" s="528">
        <f t="shared" si="110"/>
        <v>0</v>
      </c>
      <c r="AB155" s="528">
        <f t="shared" si="111"/>
        <v>15192.161986771516</v>
      </c>
      <c r="AC155" s="528">
        <f t="shared" si="112"/>
        <v>57922.644388613568</v>
      </c>
      <c r="AD155" s="1489">
        <f t="shared" si="113"/>
        <v>0</v>
      </c>
      <c r="AE155" s="1506">
        <f t="shared" si="114"/>
        <v>0.49428655067893129</v>
      </c>
      <c r="AF155" s="1506">
        <f t="shared" si="115"/>
        <v>0.19106166511011777</v>
      </c>
      <c r="AG155" s="1506">
        <f t="shared" si="116"/>
        <v>5.2368144589035041E-2</v>
      </c>
      <c r="AH155" s="1506">
        <f t="shared" si="129"/>
        <v>0</v>
      </c>
      <c r="AI155" s="1506">
        <f t="shared" si="117"/>
        <v>0.26228363962191603</v>
      </c>
      <c r="AJ155" s="1543">
        <f t="shared" si="118"/>
        <v>1</v>
      </c>
      <c r="AK155" s="1557">
        <f t="shared" si="119"/>
        <v>28096.259711329618</v>
      </c>
      <c r="AL155" s="1500">
        <f t="shared" si="120"/>
        <v>510.04117598678846</v>
      </c>
      <c r="AM155" s="1500">
        <f t="shared" si="121"/>
        <v>24.083213733745904</v>
      </c>
      <c r="AN155" s="1500">
        <f t="shared" si="122"/>
        <v>28630.384101050153</v>
      </c>
      <c r="AO155" s="1565">
        <f t="shared" si="123"/>
        <v>0</v>
      </c>
    </row>
    <row r="156" spans="1:41">
      <c r="A156" s="873">
        <f>'Input data'!A136</f>
        <v>2036</v>
      </c>
      <c r="B156" s="1553">
        <f>'Input data'!B136</f>
        <v>69.322999999999993</v>
      </c>
      <c r="C156" s="1552">
        <f>'Input data'!C136</f>
        <v>4325.9699999999993</v>
      </c>
      <c r="D156" s="1552">
        <f>'Input data'!D136</f>
        <v>32285395.803631678</v>
      </c>
      <c r="E156" s="1510">
        <f>'Input data'!J136*C156</f>
        <v>51995.431993867933</v>
      </c>
      <c r="F156" s="1511">
        <f>'Input data'!L136</f>
        <v>84280.827797499616</v>
      </c>
      <c r="G156" s="1511">
        <f t="shared" si="133"/>
        <v>27627.206795850379</v>
      </c>
      <c r="H156" s="1511">
        <f t="shared" si="125"/>
        <v>32506.444978429117</v>
      </c>
      <c r="I156" s="1513">
        <f t="shared" si="99"/>
        <v>32285.39580363168</v>
      </c>
      <c r="J156" s="1506">
        <f t="shared" si="132"/>
        <v>0.2</v>
      </c>
      <c r="K156" s="1514">
        <f t="shared" si="126"/>
        <v>4469.9860593629401</v>
      </c>
      <c r="L156" s="1514">
        <f t="shared" si="101"/>
        <v>0</v>
      </c>
      <c r="M156" s="1511">
        <f t="shared" si="127"/>
        <v>4469.9860593629401</v>
      </c>
      <c r="N156" s="1456">
        <f t="shared" si="131"/>
        <v>0.5</v>
      </c>
      <c r="O156" s="1513">
        <f t="shared" si="102"/>
        <v>751.91700000000026</v>
      </c>
      <c r="P156" s="1698">
        <f t="shared" si="130"/>
        <v>5221.9030593629404</v>
      </c>
      <c r="Q156" s="1366">
        <f t="shared" si="103"/>
        <v>54911.748714916554</v>
      </c>
      <c r="R156" s="1366">
        <f t="shared" si="128"/>
        <v>27284.541919066174</v>
      </c>
      <c r="S156" s="1091">
        <f t="shared" si="104"/>
        <v>0.93814725344344019</v>
      </c>
      <c r="T156" s="135" t="str">
        <f t="shared" si="105"/>
        <v>Yes</v>
      </c>
      <c r="U156" s="1091">
        <f t="shared" si="106"/>
        <v>0.93814725344344019</v>
      </c>
      <c r="V156" s="1496">
        <f t="shared" si="97"/>
        <v>56996.285878433438</v>
      </c>
      <c r="W156" s="1493">
        <f t="shared" si="98"/>
        <v>0.32373367267609632</v>
      </c>
      <c r="X156" s="527">
        <f t="shared" si="107"/>
        <v>27627.206795850379</v>
      </c>
      <c r="Y156" s="1511">
        <f t="shared" si="108"/>
        <v>10620.77670600401</v>
      </c>
      <c r="Z156" s="528">
        <f t="shared" si="109"/>
        <v>3101.5644156492149</v>
      </c>
      <c r="AA156" s="528">
        <f t="shared" si="110"/>
        <v>0</v>
      </c>
      <c r="AB156" s="528">
        <f t="shared" si="111"/>
        <v>15646.737960929839</v>
      </c>
      <c r="AC156" s="528">
        <f t="shared" si="112"/>
        <v>56996.285878433438</v>
      </c>
      <c r="AD156" s="1489">
        <f t="shared" si="113"/>
        <v>0</v>
      </c>
      <c r="AE156" s="1506">
        <f t="shared" si="114"/>
        <v>0.4847194228546059</v>
      </c>
      <c r="AF156" s="1506">
        <f t="shared" si="115"/>
        <v>0.18634155791584231</v>
      </c>
      <c r="AG156" s="1506">
        <f t="shared" si="116"/>
        <v>5.4416956611251781E-2</v>
      </c>
      <c r="AH156" s="1506">
        <f t="shared" si="129"/>
        <v>0</v>
      </c>
      <c r="AI156" s="1506">
        <f t="shared" si="117"/>
        <v>0.27452206261830009</v>
      </c>
      <c r="AJ156" s="1543">
        <f t="shared" si="118"/>
        <v>1</v>
      </c>
      <c r="AK156" s="1557">
        <f t="shared" si="119"/>
        <v>25828.316642905345</v>
      </c>
      <c r="AL156" s="1500">
        <f t="shared" si="120"/>
        <v>1716.4508702207631</v>
      </c>
      <c r="AM156" s="1500">
        <f t="shared" si="121"/>
        <v>82.439282724269177</v>
      </c>
      <c r="AN156" s="1500">
        <f t="shared" si="122"/>
        <v>27627.206795850379</v>
      </c>
      <c r="AO156" s="1565">
        <f t="shared" si="123"/>
        <v>0</v>
      </c>
    </row>
    <row r="157" spans="1:41">
      <c r="A157" s="873">
        <f>'Input data'!A137</f>
        <v>2037</v>
      </c>
      <c r="B157" s="1553">
        <f>'Input data'!B137</f>
        <v>69.83</v>
      </c>
      <c r="C157" s="1552">
        <f>'Input data'!C137</f>
        <v>4457.0000000000018</v>
      </c>
      <c r="D157" s="1552">
        <f>'Input data'!D137</f>
        <v>29450466.968101323</v>
      </c>
      <c r="E157" s="1510">
        <f>'Input data'!J137*C157</f>
        <v>53570.329983025658</v>
      </c>
      <c r="F157" s="1511">
        <f>'Input data'!L137</f>
        <v>83020.796951126977</v>
      </c>
      <c r="G157" s="1511">
        <f t="shared" si="133"/>
        <v>26659.179724825448</v>
      </c>
      <c r="H157" s="1511">
        <f t="shared" si="125"/>
        <v>31717.714351870902</v>
      </c>
      <c r="I157" s="1513">
        <f t="shared" si="99"/>
        <v>29450.466968101322</v>
      </c>
      <c r="J157" s="1506">
        <f t="shared" si="132"/>
        <v>0.2</v>
      </c>
      <c r="K157" s="1514">
        <f t="shared" si="126"/>
        <v>4077.4837511619889</v>
      </c>
      <c r="L157" s="1514">
        <f t="shared" si="101"/>
        <v>0</v>
      </c>
      <c r="M157" s="1511">
        <f t="shared" si="127"/>
        <v>4077.4837511619889</v>
      </c>
      <c r="N157" s="1456">
        <f t="shared" si="131"/>
        <v>0.5</v>
      </c>
      <c r="O157" s="1513">
        <f t="shared" si="102"/>
        <v>751.91700000000026</v>
      </c>
      <c r="P157" s="1698">
        <f t="shared" si="130"/>
        <v>4829.4007511619893</v>
      </c>
      <c r="Q157" s="1366">
        <f t="shared" si="103"/>
        <v>53547.493325534364</v>
      </c>
      <c r="R157" s="1366">
        <f t="shared" si="128"/>
        <v>26888.313600708916</v>
      </c>
      <c r="S157" s="1091">
        <f t="shared" si="104"/>
        <v>0.89666209439019084</v>
      </c>
      <c r="T157" s="135" t="str">
        <f t="shared" si="105"/>
        <v>Yes</v>
      </c>
      <c r="U157" s="1091">
        <f t="shared" si="106"/>
        <v>0.89666209439019084</v>
      </c>
      <c r="V157" s="1496">
        <f t="shared" si="97"/>
        <v>56132.483350418071</v>
      </c>
      <c r="W157" s="1493">
        <f t="shared" si="98"/>
        <v>0.32387443373420788</v>
      </c>
      <c r="X157" s="527">
        <f t="shared" si="107"/>
        <v>26659.179724825448</v>
      </c>
      <c r="Y157" s="1511">
        <f t="shared" si="108"/>
        <v>10179.905842458929</v>
      </c>
      <c r="Z157" s="528">
        <f t="shared" si="109"/>
        <v>3172.7332635313132</v>
      </c>
      <c r="AA157" s="528">
        <f t="shared" si="110"/>
        <v>0</v>
      </c>
      <c r="AB157" s="528">
        <f t="shared" si="111"/>
        <v>16120.664519602384</v>
      </c>
      <c r="AC157" s="528">
        <f t="shared" si="112"/>
        <v>56132.483350418071</v>
      </c>
      <c r="AD157" s="1489">
        <f t="shared" si="113"/>
        <v>0</v>
      </c>
      <c r="AE157" s="1506">
        <f t="shared" si="114"/>
        <v>0.47493319613886087</v>
      </c>
      <c r="AF157" s="1506">
        <f t="shared" si="115"/>
        <v>0.18135498796496966</v>
      </c>
      <c r="AG157" s="1506">
        <f t="shared" si="116"/>
        <v>5.6522232300411542E-2</v>
      </c>
      <c r="AH157" s="1506">
        <f t="shared" si="129"/>
        <v>0</v>
      </c>
      <c r="AI157" s="1506">
        <f t="shared" si="117"/>
        <v>0.28718958359575797</v>
      </c>
      <c r="AJ157" s="1543">
        <f t="shared" si="118"/>
        <v>1</v>
      </c>
      <c r="AK157" s="1557">
        <f t="shared" si="119"/>
        <v>23560.373574481058</v>
      </c>
      <c r="AL157" s="1500">
        <f t="shared" si="120"/>
        <v>2954.548844157946</v>
      </c>
      <c r="AM157" s="1500">
        <f t="shared" si="121"/>
        <v>144.25730618644332</v>
      </c>
      <c r="AN157" s="1500">
        <f t="shared" si="122"/>
        <v>26659.179724825448</v>
      </c>
      <c r="AO157" s="1565">
        <f t="shared" si="123"/>
        <v>0</v>
      </c>
    </row>
    <row r="158" spans="1:41">
      <c r="A158" s="873">
        <f>'Input data'!A138</f>
        <v>2038</v>
      </c>
      <c r="B158" s="1553">
        <f>'Input data'!B138</f>
        <v>70.341999999999999</v>
      </c>
      <c r="C158" s="1552">
        <f>'Input data'!C138</f>
        <v>4590.03</v>
      </c>
      <c r="D158" s="1552">
        <f>'Input data'!D138</f>
        <v>26615538.132570967</v>
      </c>
      <c r="E158" s="1510">
        <f>'Input data'!J138*C158</f>
        <v>55169.266711237862</v>
      </c>
      <c r="F158" s="1511">
        <f>'Input data'!L138</f>
        <v>81784.80484380883</v>
      </c>
      <c r="G158" s="1511">
        <f t="shared" si="133"/>
        <v>25725.071262263602</v>
      </c>
      <c r="H158" s="1511">
        <f t="shared" si="125"/>
        <v>30908.858716468621</v>
      </c>
      <c r="I158" s="1513">
        <f t="shared" si="99"/>
        <v>26615.538132570968</v>
      </c>
      <c r="J158" s="1506">
        <f t="shared" si="132"/>
        <v>0.2</v>
      </c>
      <c r="K158" s="1514">
        <f t="shared" si="126"/>
        <v>3684.9814429610392</v>
      </c>
      <c r="L158" s="1514">
        <f t="shared" si="101"/>
        <v>0</v>
      </c>
      <c r="M158" s="1511">
        <f t="shared" si="127"/>
        <v>3684.9814429610392</v>
      </c>
      <c r="N158" s="1456">
        <f t="shared" si="131"/>
        <v>0.5</v>
      </c>
      <c r="O158" s="1513">
        <f t="shared" si="102"/>
        <v>751.91700000000026</v>
      </c>
      <c r="P158" s="1698">
        <f t="shared" si="130"/>
        <v>4436.8984429610391</v>
      </c>
      <c r="Q158" s="1366">
        <f t="shared" si="103"/>
        <v>52197.031535771181</v>
      </c>
      <c r="R158" s="1366">
        <f t="shared" si="128"/>
        <v>26471.960273507579</v>
      </c>
      <c r="S158" s="1091">
        <f t="shared" si="104"/>
        <v>0.85657019962998726</v>
      </c>
      <c r="T158" s="135" t="str">
        <f t="shared" si="105"/>
        <v>Yes</v>
      </c>
      <c r="U158" s="1091">
        <f t="shared" si="106"/>
        <v>0.85657019962998726</v>
      </c>
      <c r="V158" s="1496">
        <f t="shared" si="97"/>
        <v>55312.844570301255</v>
      </c>
      <c r="W158" s="1493">
        <f t="shared" si="98"/>
        <v>0.32367822267306567</v>
      </c>
      <c r="X158" s="527">
        <f t="shared" si="107"/>
        <v>25725.071262263602</v>
      </c>
      <c r="Y158" s="1511">
        <f t="shared" si="108"/>
        <v>9740.9599564542732</v>
      </c>
      <c r="Z158" s="528">
        <f t="shared" si="109"/>
        <v>3244.988409938665</v>
      </c>
      <c r="AA158" s="528">
        <f t="shared" si="110"/>
        <v>0</v>
      </c>
      <c r="AB158" s="528">
        <f t="shared" si="111"/>
        <v>16601.824941644718</v>
      </c>
      <c r="AC158" s="528">
        <f t="shared" si="112"/>
        <v>55312.844570301255</v>
      </c>
      <c r="AD158" s="1489">
        <f t="shared" si="113"/>
        <v>0</v>
      </c>
      <c r="AE158" s="1506">
        <f t="shared" si="114"/>
        <v>0.46508313687551672</v>
      </c>
      <c r="AF158" s="1506">
        <f t="shared" si="115"/>
        <v>0.17610665356531707</v>
      </c>
      <c r="AG158" s="1506">
        <f t="shared" si="116"/>
        <v>5.8666091667268445E-2</v>
      </c>
      <c r="AH158" s="1506">
        <f t="shared" si="129"/>
        <v>0</v>
      </c>
      <c r="AI158" s="1506">
        <f t="shared" si="117"/>
        <v>0.30014411789189777</v>
      </c>
      <c r="AJ158" s="1543">
        <f t="shared" si="118"/>
        <v>1</v>
      </c>
      <c r="AK158" s="1557">
        <f t="shared" si="119"/>
        <v>21292.430506056775</v>
      </c>
      <c r="AL158" s="1500">
        <f t="shared" si="120"/>
        <v>4223.2209433428025</v>
      </c>
      <c r="AM158" s="1500">
        <f t="shared" si="121"/>
        <v>209.41981286402483</v>
      </c>
      <c r="AN158" s="1500">
        <f t="shared" si="122"/>
        <v>25725.071262263602</v>
      </c>
      <c r="AO158" s="1565">
        <f t="shared" si="123"/>
        <v>0</v>
      </c>
    </row>
    <row r="159" spans="1:41">
      <c r="A159" s="873">
        <f>'Input data'!A139</f>
        <v>2039</v>
      </c>
      <c r="B159" s="1553">
        <f>'Input data'!B139</f>
        <v>70.856999999999999</v>
      </c>
      <c r="C159" s="1552">
        <f>'Input data'!C139</f>
        <v>4728.5300000000007</v>
      </c>
      <c r="D159" s="1552">
        <f>'Input data'!D139</f>
        <v>23780609.297040608</v>
      </c>
      <c r="E159" s="1510">
        <f>'Input data'!J139*C159</f>
        <v>56833.949390764246</v>
      </c>
      <c r="F159" s="1511">
        <f>'Input data'!L139</f>
        <v>80614.558687804849</v>
      </c>
      <c r="G159" s="1511">
        <f t="shared" si="133"/>
        <v>24823.692937269236</v>
      </c>
      <c r="H159" s="1511">
        <f t="shared" si="125"/>
        <v>30104.998438456973</v>
      </c>
      <c r="I159" s="1513">
        <f t="shared" si="99"/>
        <v>23780.609297040606</v>
      </c>
      <c r="J159" s="1506">
        <f t="shared" si="132"/>
        <v>0.2</v>
      </c>
      <c r="K159" s="1514">
        <f t="shared" si="126"/>
        <v>3292.4791347600881</v>
      </c>
      <c r="L159" s="1514">
        <f t="shared" si="101"/>
        <v>0</v>
      </c>
      <c r="M159" s="1511">
        <f t="shared" si="127"/>
        <v>3292.4791347600881</v>
      </c>
      <c r="N159" s="1456">
        <f t="shared" si="131"/>
        <v>0.5</v>
      </c>
      <c r="O159" s="1513">
        <f t="shared" si="102"/>
        <v>751.91700000000026</v>
      </c>
      <c r="P159" s="1698">
        <f t="shared" si="130"/>
        <v>4044.3961347600884</v>
      </c>
      <c r="Q159" s="1366">
        <f t="shared" si="103"/>
        <v>50884.295240966123</v>
      </c>
      <c r="R159" s="1366">
        <f t="shared" si="128"/>
        <v>26060.602303696887</v>
      </c>
      <c r="S159" s="1091">
        <f t="shared" si="104"/>
        <v>0.81797738594549985</v>
      </c>
      <c r="T159" s="135" t="str">
        <f t="shared" si="105"/>
        <v>Yes</v>
      </c>
      <c r="U159" s="1091">
        <f t="shared" si="106"/>
        <v>0.81797738594549985</v>
      </c>
      <c r="V159" s="1496">
        <f t="shared" si="97"/>
        <v>54553.95638410798</v>
      </c>
      <c r="W159" s="1493">
        <f t="shared" si="98"/>
        <v>0.32327414213878525</v>
      </c>
      <c r="X159" s="527">
        <f t="shared" si="107"/>
        <v>24823.692937269236</v>
      </c>
      <c r="Y159" s="1511">
        <f t="shared" si="108"/>
        <v>9307.2788840226804</v>
      </c>
      <c r="Z159" s="528">
        <f t="shared" si="109"/>
        <v>3320.2145828125908</v>
      </c>
      <c r="AA159" s="528">
        <f t="shared" si="110"/>
        <v>0</v>
      </c>
      <c r="AB159" s="528">
        <f t="shared" si="111"/>
        <v>17102.769980003464</v>
      </c>
      <c r="AC159" s="528">
        <f t="shared" si="112"/>
        <v>54553.95638410798</v>
      </c>
      <c r="AD159" s="1489">
        <f t="shared" si="113"/>
        <v>0</v>
      </c>
      <c r="AE159" s="1506">
        <f t="shared" si="114"/>
        <v>0.45503011298554663</v>
      </c>
      <c r="AF159" s="1506">
        <f t="shared" si="115"/>
        <v>0.17060685422137353</v>
      </c>
      <c r="AG159" s="1506">
        <f t="shared" si="116"/>
        <v>6.0861114443017679E-2</v>
      </c>
      <c r="AH159" s="1506">
        <f t="shared" si="129"/>
        <v>0</v>
      </c>
      <c r="AI159" s="1506">
        <f t="shared" si="117"/>
        <v>0.31350191835006203</v>
      </c>
      <c r="AJ159" s="1543">
        <f t="shared" si="118"/>
        <v>0.99999999999999989</v>
      </c>
      <c r="AK159" s="1557">
        <f t="shared" si="119"/>
        <v>19024.487437632484</v>
      </c>
      <c r="AL159" s="1500">
        <f t="shared" si="120"/>
        <v>5521.287735624519</v>
      </c>
      <c r="AM159" s="1500">
        <f t="shared" si="121"/>
        <v>277.91776401223109</v>
      </c>
      <c r="AN159" s="1500">
        <f t="shared" si="122"/>
        <v>24823.692937269236</v>
      </c>
      <c r="AO159" s="1565">
        <f t="shared" si="123"/>
        <v>0</v>
      </c>
    </row>
    <row r="160" spans="1:41" s="1" customFormat="1">
      <c r="A160" s="873">
        <f>'Input data'!A140</f>
        <v>2040</v>
      </c>
      <c r="B160" s="1553">
        <f>'Input data'!B140</f>
        <v>71.375</v>
      </c>
      <c r="C160" s="1552">
        <f>'Input data'!C140</f>
        <v>4875.51</v>
      </c>
      <c r="D160" s="1552">
        <f>'Input data'!D140</f>
        <v>20945680.461510252</v>
      </c>
      <c r="E160" s="1510">
        <f>'Input data'!J140*C160</f>
        <v>58600.556323881829</v>
      </c>
      <c r="F160" s="1511">
        <f>'Input data'!L140</f>
        <v>79546.236785392073</v>
      </c>
      <c r="G160" s="1511">
        <f>G137*(1-$C$5)</f>
        <v>23953.89792166539</v>
      </c>
      <c r="H160" s="1511">
        <f t="shared" si="125"/>
        <v>29328.039713439583</v>
      </c>
      <c r="I160" s="1513">
        <f t="shared" si="99"/>
        <v>20945.680461510252</v>
      </c>
      <c r="J160" s="1506">
        <f t="shared" si="132"/>
        <v>0.2</v>
      </c>
      <c r="K160" s="1514">
        <f t="shared" si="126"/>
        <v>2899.9768265591383</v>
      </c>
      <c r="L160" s="1514">
        <f t="shared" si="101"/>
        <v>0</v>
      </c>
      <c r="M160" s="1511">
        <f t="shared" si="127"/>
        <v>2899.9768265591383</v>
      </c>
      <c r="N160" s="1456">
        <f t="shared" si="131"/>
        <v>0.5</v>
      </c>
      <c r="O160" s="1513">
        <f t="shared" si="102"/>
        <v>751.91700000000026</v>
      </c>
      <c r="P160" s="1698">
        <f t="shared" si="130"/>
        <v>3651.8938265591387</v>
      </c>
      <c r="Q160" s="1366">
        <f t="shared" si="103"/>
        <v>49630.04380854583</v>
      </c>
      <c r="R160" s="1366">
        <f t="shared" si="128"/>
        <v>25676.14588688044</v>
      </c>
      <c r="S160" s="1091">
        <f t="shared" si="104"/>
        <v>0.78105910002862156</v>
      </c>
      <c r="T160" s="135" t="str">
        <f t="shared" si="105"/>
        <v>Yes</v>
      </c>
      <c r="U160" s="1091">
        <f t="shared" si="106"/>
        <v>0.78105910002862156</v>
      </c>
      <c r="V160" s="1496">
        <f t="shared" si="97"/>
        <v>53870.09089851164</v>
      </c>
      <c r="W160" s="1493">
        <f t="shared" si="98"/>
        <v>0.32278265980265231</v>
      </c>
      <c r="X160" s="527">
        <f t="shared" si="107"/>
        <v>23953.897921665386</v>
      </c>
      <c r="Y160" s="1511">
        <f t="shared" si="108"/>
        <v>8881.7597163624923</v>
      </c>
      <c r="Z160" s="528">
        <f t="shared" si="109"/>
        <v>3400.0466614335983</v>
      </c>
      <c r="AA160" s="528">
        <f t="shared" si="110"/>
        <v>0</v>
      </c>
      <c r="AB160" s="528">
        <f t="shared" si="111"/>
        <v>17634.386599050165</v>
      </c>
      <c r="AC160" s="528">
        <f t="shared" si="112"/>
        <v>53870.09089851164</v>
      </c>
      <c r="AD160" s="1489">
        <f t="shared" si="113"/>
        <v>0</v>
      </c>
      <c r="AE160" s="1506">
        <f t="shared" si="114"/>
        <v>0.44466043257274696</v>
      </c>
      <c r="AF160" s="1506">
        <f t="shared" si="115"/>
        <v>0.16487367235179259</v>
      </c>
      <c r="AG160" s="1506">
        <f t="shared" si="116"/>
        <v>6.3115665942333449E-2</v>
      </c>
      <c r="AH160" s="1506">
        <f t="shared" si="129"/>
        <v>0</v>
      </c>
      <c r="AI160" s="1506">
        <f t="shared" si="117"/>
        <v>0.327350229133127</v>
      </c>
      <c r="AJ160" s="1543">
        <f t="shared" si="118"/>
        <v>1</v>
      </c>
      <c r="AK160" s="1557">
        <f t="shared" si="119"/>
        <v>16756.544369208201</v>
      </c>
      <c r="AL160" s="1500">
        <f t="shared" si="120"/>
        <v>6847.5598242440856</v>
      </c>
      <c r="AM160" s="1500">
        <f t="shared" si="121"/>
        <v>349.79372821309863</v>
      </c>
      <c r="AN160" s="1500">
        <f t="shared" si="122"/>
        <v>23953.897921665386</v>
      </c>
      <c r="AO160" s="1565">
        <f t="shared" si="123"/>
        <v>0</v>
      </c>
    </row>
    <row r="161" spans="1:41">
      <c r="A161" s="873">
        <f>'Input data'!A141</f>
        <v>2041</v>
      </c>
      <c r="B161" s="1553">
        <f>'Input data'!B141</f>
        <v>71.819000000000003</v>
      </c>
      <c r="C161" s="1552">
        <f>'Input data'!C141</f>
        <v>5028.54</v>
      </c>
      <c r="D161" s="1552">
        <f>'Input data'!D141</f>
        <v>19664699.523913871</v>
      </c>
      <c r="E161" s="1510">
        <f>'Input data'!J141*C161</f>
        <v>60439.880442639384</v>
      </c>
      <c r="F161" s="1511">
        <f>'Input data'!L141</f>
        <v>80104.579966553254</v>
      </c>
      <c r="G161" s="1511">
        <f>$G$160*(1+((($G$170/$G$160)^(1/($A$170-$A$160)))-1))^(A161-$A$160)</f>
        <v>22650.218174049241</v>
      </c>
      <c r="H161" s="1511">
        <f t="shared" si="125"/>
        <v>30484.997278203544</v>
      </c>
      <c r="I161" s="1513">
        <f t="shared" si="99"/>
        <v>19664.699523913871</v>
      </c>
      <c r="J161" s="1506">
        <f t="shared" si="132"/>
        <v>0.2</v>
      </c>
      <c r="K161" s="1514">
        <f t="shared" si="126"/>
        <v>2722.6221189324351</v>
      </c>
      <c r="L161" s="1514">
        <f t="shared" si="101"/>
        <v>0</v>
      </c>
      <c r="M161" s="1511">
        <f t="shared" si="127"/>
        <v>2722.6221189324351</v>
      </c>
      <c r="N161" s="1456">
        <f t="shared" si="131"/>
        <v>0.5</v>
      </c>
      <c r="O161" s="1513">
        <f t="shared" si="102"/>
        <v>751.91700000000026</v>
      </c>
      <c r="P161" s="1698">
        <f t="shared" si="130"/>
        <v>3474.5391189324355</v>
      </c>
      <c r="Q161" s="1366">
        <f t="shared" si="103"/>
        <v>49660.676333320349</v>
      </c>
      <c r="R161" s="1366">
        <f t="shared" si="128"/>
        <v>27010.458159271107</v>
      </c>
      <c r="S161" s="1091">
        <f t="shared" si="104"/>
        <v>0.79608961249196586</v>
      </c>
      <c r="T161" s="135" t="str">
        <f t="shared" si="105"/>
        <v>Yes</v>
      </c>
      <c r="U161" s="1091">
        <f t="shared" si="106"/>
        <v>0.79608961249196586</v>
      </c>
      <c r="V161" s="1496">
        <f t="shared" si="97"/>
        <v>53094.121807282165</v>
      </c>
      <c r="W161" s="1493">
        <f t="shared" si="98"/>
        <v>0.33718993558856425</v>
      </c>
      <c r="X161" s="527">
        <f t="shared" si="107"/>
        <v>22650.218174049245</v>
      </c>
      <c r="Y161" s="1511">
        <f t="shared" si="108"/>
        <v>8772.8531853488894</v>
      </c>
      <c r="Z161" s="528">
        <f t="shared" si="109"/>
        <v>3483.1647930935037</v>
      </c>
      <c r="AA161" s="528">
        <f t="shared" si="110"/>
        <v>0</v>
      </c>
      <c r="AB161" s="528">
        <f t="shared" si="111"/>
        <v>18187.88565479052</v>
      </c>
      <c r="AC161" s="528">
        <f t="shared" si="112"/>
        <v>53094.121807282165</v>
      </c>
      <c r="AD161" s="1489">
        <f t="shared" si="113"/>
        <v>0</v>
      </c>
      <c r="AE161" s="1506">
        <f t="shared" si="114"/>
        <v>0.42660500641226612</v>
      </c>
      <c r="AF161" s="1506">
        <f t="shared" si="115"/>
        <v>0.1652320988977285</v>
      </c>
      <c r="AG161" s="1506">
        <f t="shared" si="116"/>
        <v>6.560358613212372E-2</v>
      </c>
      <c r="AH161" s="1506">
        <f t="shared" si="129"/>
        <v>0</v>
      </c>
      <c r="AI161" s="1506">
        <f t="shared" si="117"/>
        <v>0.34255930855788158</v>
      </c>
      <c r="AJ161" s="1543">
        <f t="shared" si="118"/>
        <v>1</v>
      </c>
      <c r="AK161" s="1557">
        <f t="shared" si="119"/>
        <v>15731.759619131095</v>
      </c>
      <c r="AL161" s="1500">
        <f t="shared" si="120"/>
        <v>6577.6406558557919</v>
      </c>
      <c r="AM161" s="1500">
        <f t="shared" si="121"/>
        <v>340.81789906235372</v>
      </c>
      <c r="AN161" s="1500">
        <f t="shared" si="122"/>
        <v>22650.218174049241</v>
      </c>
      <c r="AO161" s="1565">
        <f t="shared" si="123"/>
        <v>0</v>
      </c>
    </row>
    <row r="162" spans="1:41">
      <c r="A162" s="873">
        <f>'Input data'!A142</f>
        <v>2042</v>
      </c>
      <c r="B162" s="1553">
        <f>'Input data'!B142</f>
        <v>72.265000000000001</v>
      </c>
      <c r="C162" s="1552">
        <f>'Input data'!C142</f>
        <v>5188.1000000000004</v>
      </c>
      <c r="D162" s="1552">
        <f>'Input data'!D142</f>
        <v>18383718.586317491</v>
      </c>
      <c r="E162" s="1510">
        <f>'Input data'!J142*C162</f>
        <v>62357.691044409985</v>
      </c>
      <c r="F162" s="1511">
        <f>'Input data'!L142</f>
        <v>80741.409630727474</v>
      </c>
      <c r="G162" s="1511">
        <f t="shared" ref="G162:G169" si="134">$G$160*(1+((($G$170/$G$160)^(1/($A$170-$A$160)))-1))^(A162-$A$160)</f>
        <v>21417.490590039302</v>
      </c>
      <c r="H162" s="1511">
        <f t="shared" si="125"/>
        <v>31616.038782117499</v>
      </c>
      <c r="I162" s="1513">
        <f t="shared" si="99"/>
        <v>18383.718586317489</v>
      </c>
      <c r="J162" s="1506">
        <f t="shared" si="132"/>
        <v>0.2</v>
      </c>
      <c r="K162" s="1514">
        <f t="shared" si="126"/>
        <v>2545.2674113057319</v>
      </c>
      <c r="L162" s="1514">
        <f t="shared" si="101"/>
        <v>0</v>
      </c>
      <c r="M162" s="1511">
        <f t="shared" si="127"/>
        <v>2545.2674113057319</v>
      </c>
      <c r="N162" s="1456">
        <f t="shared" si="131"/>
        <v>0.5</v>
      </c>
      <c r="O162" s="1513">
        <f t="shared" si="102"/>
        <v>751.91700000000026</v>
      </c>
      <c r="P162" s="1698">
        <f t="shared" si="130"/>
        <v>3297.1844113057323</v>
      </c>
      <c r="Q162" s="1366">
        <f t="shared" si="103"/>
        <v>49736.344960851071</v>
      </c>
      <c r="R162" s="1366">
        <f t="shared" si="128"/>
        <v>28318.854370811769</v>
      </c>
      <c r="S162" s="1091">
        <f t="shared" si="104"/>
        <v>0.80843173304572979</v>
      </c>
      <c r="T162" s="135" t="str">
        <f t="shared" si="105"/>
        <v>Yes</v>
      </c>
      <c r="U162" s="1091">
        <f t="shared" si="106"/>
        <v>0.80843173304572979</v>
      </c>
      <c r="V162" s="1496">
        <f t="shared" si="97"/>
        <v>52422.555259915716</v>
      </c>
      <c r="W162" s="1493">
        <f t="shared" si="98"/>
        <v>0.35073519895588434</v>
      </c>
      <c r="X162" s="527">
        <f t="shared" si="107"/>
        <v>21417.490590039306</v>
      </c>
      <c r="Y162" s="1511">
        <f t="shared" si="108"/>
        <v>8670.2317060047753</v>
      </c>
      <c r="Z162" s="528">
        <f t="shared" si="109"/>
        <v>3569.829689438367</v>
      </c>
      <c r="AA162" s="528">
        <f t="shared" si="110"/>
        <v>0</v>
      </c>
      <c r="AB162" s="528">
        <f t="shared" si="111"/>
        <v>18765.003274433271</v>
      </c>
      <c r="AC162" s="528">
        <f t="shared" si="112"/>
        <v>52422.555259915716</v>
      </c>
      <c r="AD162" s="1489">
        <f t="shared" si="113"/>
        <v>0</v>
      </c>
      <c r="AE162" s="1506">
        <f t="shared" si="114"/>
        <v>0.40855487650019107</v>
      </c>
      <c r="AF162" s="1506">
        <f t="shared" si="115"/>
        <v>0.1653912454861651</v>
      </c>
      <c r="AG162" s="1506">
        <f t="shared" si="116"/>
        <v>6.8097208763266734E-2</v>
      </c>
      <c r="AH162" s="1506">
        <f t="shared" si="129"/>
        <v>0</v>
      </c>
      <c r="AI162" s="1506">
        <f t="shared" si="117"/>
        <v>0.35795666925037717</v>
      </c>
      <c r="AJ162" s="1543">
        <f t="shared" si="118"/>
        <v>1</v>
      </c>
      <c r="AK162" s="1557">
        <f t="shared" si="119"/>
        <v>14706.974869053989</v>
      </c>
      <c r="AL162" s="1500">
        <f t="shared" si="120"/>
        <v>6375.5960592981955</v>
      </c>
      <c r="AM162" s="1500">
        <f t="shared" si="121"/>
        <v>334.91966168711309</v>
      </c>
      <c r="AN162" s="1500">
        <f t="shared" si="122"/>
        <v>21417.490590039299</v>
      </c>
      <c r="AO162" s="1565">
        <f t="shared" si="123"/>
        <v>0</v>
      </c>
    </row>
    <row r="163" spans="1:41">
      <c r="A163" s="873">
        <f>'Input data'!A143</f>
        <v>2043</v>
      </c>
      <c r="B163" s="1553">
        <f>'Input data'!B143</f>
        <v>72.713999999999999</v>
      </c>
      <c r="C163" s="1552">
        <f>'Input data'!C143</f>
        <v>5353.7899999999991</v>
      </c>
      <c r="D163" s="1552">
        <f>'Input data'!D143</f>
        <v>17102737.64872111</v>
      </c>
      <c r="E163" s="1510">
        <f>'Input data'!J143*C163</f>
        <v>64349.180381382714</v>
      </c>
      <c r="F163" s="1511">
        <f>'Input data'!L143</f>
        <v>81451.918030103829</v>
      </c>
      <c r="G163" s="1511">
        <f t="shared" si="134"/>
        <v>20251.853631148377</v>
      </c>
      <c r="H163" s="1511">
        <f t="shared" si="125"/>
        <v>32722.267043744825</v>
      </c>
      <c r="I163" s="1513">
        <f t="shared" si="99"/>
        <v>17102.737648721111</v>
      </c>
      <c r="J163" s="1506">
        <f t="shared" si="132"/>
        <v>0.2</v>
      </c>
      <c r="K163" s="1514">
        <f t="shared" si="126"/>
        <v>2367.9127036790292</v>
      </c>
      <c r="L163" s="1514">
        <f t="shared" si="101"/>
        <v>0</v>
      </c>
      <c r="M163" s="1511">
        <f t="shared" si="127"/>
        <v>2367.9127036790292</v>
      </c>
      <c r="N163" s="1456">
        <f t="shared" si="131"/>
        <v>0.5</v>
      </c>
      <c r="O163" s="1513">
        <f t="shared" si="102"/>
        <v>751.91700000000026</v>
      </c>
      <c r="P163" s="1698">
        <f t="shared" si="130"/>
        <v>3119.8297036790295</v>
      </c>
      <c r="Q163" s="1366">
        <f t="shared" si="103"/>
        <v>49854.29097121417</v>
      </c>
      <c r="R163" s="1366">
        <f t="shared" si="128"/>
        <v>29602.437340065793</v>
      </c>
      <c r="S163" s="1091">
        <f t="shared" si="104"/>
        <v>0.81837760712300056</v>
      </c>
      <c r="T163" s="135" t="str">
        <f t="shared" si="105"/>
        <v>Yes</v>
      </c>
      <c r="U163" s="1091">
        <f t="shared" si="106"/>
        <v>0.81837760712300056</v>
      </c>
      <c r="V163" s="1496">
        <f t="shared" si="97"/>
        <v>51849.480690038043</v>
      </c>
      <c r="W163" s="1493">
        <f t="shared" si="98"/>
        <v>0.36343450290667212</v>
      </c>
      <c r="X163" s="527">
        <f t="shared" si="107"/>
        <v>20251.853631148377</v>
      </c>
      <c r="Y163" s="1511">
        <f t="shared" si="108"/>
        <v>8573.5102828220661</v>
      </c>
      <c r="Z163" s="528">
        <f t="shared" si="109"/>
        <v>3659.8240907631371</v>
      </c>
      <c r="AA163" s="528">
        <f t="shared" si="110"/>
        <v>0</v>
      </c>
      <c r="AB163" s="528">
        <f t="shared" si="111"/>
        <v>19364.292685304463</v>
      </c>
      <c r="AC163" s="528">
        <f t="shared" si="112"/>
        <v>51849.480690038043</v>
      </c>
      <c r="AD163" s="1489">
        <f t="shared" si="113"/>
        <v>0</v>
      </c>
      <c r="AE163" s="1506">
        <f t="shared" si="114"/>
        <v>0.39058932436018423</v>
      </c>
      <c r="AF163" s="1506">
        <f t="shared" si="115"/>
        <v>0.16535383129631448</v>
      </c>
      <c r="AG163" s="1506">
        <f t="shared" si="116"/>
        <v>7.0585549595799657E-2</v>
      </c>
      <c r="AH163" s="1506">
        <f t="shared" si="129"/>
        <v>0</v>
      </c>
      <c r="AI163" s="1506">
        <f t="shared" si="117"/>
        <v>0.37347129474770163</v>
      </c>
      <c r="AJ163" s="1543">
        <f t="shared" si="118"/>
        <v>1</v>
      </c>
      <c r="AK163" s="1557">
        <f t="shared" si="119"/>
        <v>13682.190118976889</v>
      </c>
      <c r="AL163" s="1500">
        <f t="shared" si="120"/>
        <v>6237.6300018105885</v>
      </c>
      <c r="AM163" s="1500">
        <f t="shared" si="121"/>
        <v>332.03351036089526</v>
      </c>
      <c r="AN163" s="1500">
        <f t="shared" si="122"/>
        <v>20251.853631148373</v>
      </c>
      <c r="AO163" s="1565">
        <f t="shared" si="123"/>
        <v>0</v>
      </c>
    </row>
    <row r="164" spans="1:41">
      <c r="A164" s="873">
        <f>'Input data'!A144</f>
        <v>2044</v>
      </c>
      <c r="B164" s="1553">
        <f>'Input data'!B144</f>
        <v>73.165000000000006</v>
      </c>
      <c r="C164" s="1552">
        <f>'Input data'!C144</f>
        <v>5526.5000000000018</v>
      </c>
      <c r="D164" s="1552">
        <f>'Input data'!D144</f>
        <v>15821756.711124728</v>
      </c>
      <c r="E164" s="1510">
        <f>'Input data'!J144*C164</f>
        <v>66425.045692436906</v>
      </c>
      <c r="F164" s="1511">
        <f>'Input data'!L144</f>
        <v>82246.80240356164</v>
      </c>
      <c r="G164" s="1511">
        <f t="shared" si="134"/>
        <v>19149.655921324487</v>
      </c>
      <c r="H164" s="1511">
        <f t="shared" si="125"/>
        <v>33813.471590967994</v>
      </c>
      <c r="I164" s="1513">
        <f t="shared" si="99"/>
        <v>15821.756711124728</v>
      </c>
      <c r="J164" s="1506">
        <f t="shared" si="132"/>
        <v>0.2</v>
      </c>
      <c r="K164" s="1514">
        <f t="shared" si="126"/>
        <v>2190.5579960523255</v>
      </c>
      <c r="L164" s="1514">
        <f t="shared" si="101"/>
        <v>0</v>
      </c>
      <c r="M164" s="1511">
        <f t="shared" si="127"/>
        <v>2190.5579960523255</v>
      </c>
      <c r="N164" s="1456">
        <f t="shared" si="131"/>
        <v>0.5</v>
      </c>
      <c r="O164" s="1513">
        <f t="shared" si="102"/>
        <v>751.91700000000026</v>
      </c>
      <c r="P164" s="1698">
        <f t="shared" si="130"/>
        <v>2942.4749960523259</v>
      </c>
      <c r="Q164" s="1366">
        <f t="shared" si="103"/>
        <v>50020.652516240159</v>
      </c>
      <c r="R164" s="1366">
        <f t="shared" si="128"/>
        <v>30870.996594915672</v>
      </c>
      <c r="S164" s="1091">
        <f t="shared" si="104"/>
        <v>0.82623965934163079</v>
      </c>
      <c r="T164" s="135" t="str">
        <f t="shared" si="105"/>
        <v>Yes</v>
      </c>
      <c r="U164" s="1091">
        <f t="shared" si="106"/>
        <v>0.82623965934163079</v>
      </c>
      <c r="V164" s="1496">
        <f>AC164</f>
        <v>51375.805808645964</v>
      </c>
      <c r="W164" s="1493">
        <f t="shared" si="98"/>
        <v>0.3753458577446025</v>
      </c>
      <c r="X164" s="527">
        <f t="shared" si="107"/>
        <v>19149.655921324487</v>
      </c>
      <c r="Y164" s="1511">
        <f t="shared" si="108"/>
        <v>8483.5455308062519</v>
      </c>
      <c r="Z164" s="528">
        <f t="shared" si="109"/>
        <v>3753.6313999115555</v>
      </c>
      <c r="AA164" s="528">
        <f t="shared" si="110"/>
        <v>0</v>
      </c>
      <c r="AB164" s="528">
        <f t="shared" si="111"/>
        <v>19988.972956603673</v>
      </c>
      <c r="AC164" s="528">
        <f t="shared" si="112"/>
        <v>51375.805808645964</v>
      </c>
      <c r="AD164" s="1489">
        <f t="shared" si="113"/>
        <v>0</v>
      </c>
      <c r="AE164" s="1506">
        <f t="shared" si="114"/>
        <v>0.37273684801459245</v>
      </c>
      <c r="AF164" s="1506">
        <f t="shared" si="115"/>
        <v>0.16512725002122627</v>
      </c>
      <c r="AG164" s="1506">
        <f t="shared" si="116"/>
        <v>7.3062238943605279E-2</v>
      </c>
      <c r="AH164" s="1506">
        <f t="shared" si="129"/>
        <v>0</v>
      </c>
      <c r="AI164" s="1506">
        <f t="shared" si="117"/>
        <v>0.38907366302057605</v>
      </c>
      <c r="AJ164" s="1543">
        <f t="shared" si="118"/>
        <v>1</v>
      </c>
      <c r="AK164" s="1557">
        <f t="shared" si="119"/>
        <v>12657.405368899781</v>
      </c>
      <c r="AL164" s="1500">
        <f t="shared" si="120"/>
        <v>6160.1277451538854</v>
      </c>
      <c r="AM164" s="1500">
        <f t="shared" si="121"/>
        <v>332.12280727081838</v>
      </c>
      <c r="AN164" s="1500">
        <f t="shared" si="122"/>
        <v>19149.655921324484</v>
      </c>
      <c r="AO164" s="1565">
        <f t="shared" si="123"/>
        <v>0</v>
      </c>
    </row>
    <row r="165" spans="1:41">
      <c r="A165" s="873">
        <f>'Input data'!A145</f>
        <v>2045</v>
      </c>
      <c r="B165" s="1553">
        <f>'Input data'!B145</f>
        <v>73.62</v>
      </c>
      <c r="C165" s="1552">
        <f>'Input data'!C145</f>
        <v>5709.93</v>
      </c>
      <c r="D165" s="1552">
        <f>'Input data'!D145</f>
        <v>14540775.773528345</v>
      </c>
      <c r="E165" s="1510">
        <f>'Input data'!J145*C165</f>
        <v>68629.758644823334</v>
      </c>
      <c r="F165" s="1511">
        <f>'Input data'!L145</f>
        <v>83170.534418351686</v>
      </c>
      <c r="G165" s="1511">
        <f t="shared" si="134"/>
        <v>18107.444808958157</v>
      </c>
      <c r="H165" s="1511">
        <f t="shared" si="125"/>
        <v>34918.623234691695</v>
      </c>
      <c r="I165" s="1513">
        <f t="shared" si="99"/>
        <v>14540.775773528345</v>
      </c>
      <c r="J165" s="1506">
        <f t="shared" si="132"/>
        <v>0.2</v>
      </c>
      <c r="K165" s="1514">
        <f t="shared" si="126"/>
        <v>2013.2032884256218</v>
      </c>
      <c r="L165" s="1514">
        <f t="shared" si="101"/>
        <v>0</v>
      </c>
      <c r="M165" s="1511">
        <f t="shared" si="127"/>
        <v>2013.2032884256218</v>
      </c>
      <c r="N165" s="1456">
        <f t="shared" si="131"/>
        <v>0.5</v>
      </c>
      <c r="O165" s="1513">
        <f t="shared" si="102"/>
        <v>751.91700000000026</v>
      </c>
      <c r="P165" s="1698">
        <f t="shared" si="130"/>
        <v>2765.1202884256222</v>
      </c>
      <c r="Q165" s="1366">
        <f t="shared" si="103"/>
        <v>50260.947755224232</v>
      </c>
      <c r="R165" s="1366">
        <f t="shared" si="128"/>
        <v>32153.502946266075</v>
      </c>
      <c r="S165" s="1091">
        <f t="shared" si="104"/>
        <v>0.83238144982898055</v>
      </c>
      <c r="T165" s="135" t="str">
        <f t="shared" si="105"/>
        <v>Yes</v>
      </c>
      <c r="U165" s="1091">
        <f t="shared" si="106"/>
        <v>0.83238144982898055</v>
      </c>
      <c r="V165" s="1496">
        <f t="shared" si="97"/>
        <v>51017.031472085611</v>
      </c>
      <c r="W165" s="1493">
        <f t="shared" si="98"/>
        <v>0.38659728678106653</v>
      </c>
      <c r="X165" s="527">
        <f t="shared" si="107"/>
        <v>18107.444808958153</v>
      </c>
      <c r="Y165" s="1511">
        <f t="shared" si="108"/>
        <v>8403.8986584071172</v>
      </c>
      <c r="Z165" s="528">
        <f t="shared" si="109"/>
        <v>3853.2612691553395</v>
      </c>
      <c r="AA165" s="528">
        <f t="shared" si="110"/>
        <v>0</v>
      </c>
      <c r="AB165" s="528">
        <f t="shared" si="111"/>
        <v>20652.426735565001</v>
      </c>
      <c r="AC165" s="528">
        <f t="shared" si="112"/>
        <v>51017.031472085611</v>
      </c>
      <c r="AD165" s="1489">
        <f t="shared" si="113"/>
        <v>0</v>
      </c>
      <c r="AE165" s="1506">
        <f t="shared" si="114"/>
        <v>0.35492940860084715</v>
      </c>
      <c r="AF165" s="1506">
        <f t="shared" si="115"/>
        <v>0.16472731587696118</v>
      </c>
      <c r="AG165" s="1506">
        <f t="shared" si="116"/>
        <v>7.5528919617043638E-2</v>
      </c>
      <c r="AH165" s="1506">
        <f t="shared" si="129"/>
        <v>0</v>
      </c>
      <c r="AI165" s="1506">
        <f t="shared" si="117"/>
        <v>0.40481435590514797</v>
      </c>
      <c r="AJ165" s="1543">
        <f t="shared" si="118"/>
        <v>1</v>
      </c>
      <c r="AK165" s="1557">
        <f t="shared" si="119"/>
        <v>11632.620618822675</v>
      </c>
      <c r="AL165" s="1500">
        <f t="shared" si="120"/>
        <v>6139.6236266538981</v>
      </c>
      <c r="AM165" s="1500">
        <f t="shared" si="121"/>
        <v>335.20056348157624</v>
      </c>
      <c r="AN165" s="1500">
        <f t="shared" si="122"/>
        <v>18107.444808958149</v>
      </c>
      <c r="AO165" s="1565">
        <f t="shared" si="123"/>
        <v>0</v>
      </c>
    </row>
    <row r="166" spans="1:41">
      <c r="A166" s="873">
        <f>'Input data'!A146</f>
        <v>2046</v>
      </c>
      <c r="B166" s="1553">
        <f>'Input data'!B146</f>
        <v>73.995000000000005</v>
      </c>
      <c r="C166" s="1552">
        <f>'Input data'!C146</f>
        <v>5902.43</v>
      </c>
      <c r="D166" s="1552">
        <f>'Input data'!D146</f>
        <v>13259794.835931966</v>
      </c>
      <c r="E166" s="1510">
        <f>'Input data'!J146*C166</f>
        <v>70943.487278822082</v>
      </c>
      <c r="F166" s="1511">
        <f>'Input data'!L146</f>
        <v>84203.282114754053</v>
      </c>
      <c r="G166" s="1511">
        <f t="shared" si="134"/>
        <v>17121.955551397077</v>
      </c>
      <c r="H166" s="1511">
        <f t="shared" si="125"/>
        <v>36029.60699788254</v>
      </c>
      <c r="I166" s="1513">
        <f t="shared" si="99"/>
        <v>13259.794835931965</v>
      </c>
      <c r="J166" s="1506">
        <f t="shared" si="132"/>
        <v>0.2</v>
      </c>
      <c r="K166" s="1514">
        <f t="shared" si="126"/>
        <v>1835.8485807989186</v>
      </c>
      <c r="L166" s="1514">
        <f t="shared" si="101"/>
        <v>0</v>
      </c>
      <c r="M166" s="1511">
        <f t="shared" si="127"/>
        <v>1835.8485807989186</v>
      </c>
      <c r="N166" s="1456">
        <f t="shared" si="131"/>
        <v>0.5</v>
      </c>
      <c r="O166" s="1513">
        <f t="shared" si="102"/>
        <v>751.91700000000026</v>
      </c>
      <c r="P166" s="1698">
        <f t="shared" si="130"/>
        <v>2587.765580798919</v>
      </c>
      <c r="Q166" s="1366">
        <f t="shared" si="103"/>
        <v>50563.796968480696</v>
      </c>
      <c r="R166" s="1366">
        <f t="shared" si="128"/>
        <v>33441.841417083619</v>
      </c>
      <c r="S166" s="1091">
        <f t="shared" si="104"/>
        <v>0.83696751364855315</v>
      </c>
      <c r="T166" s="135" t="str">
        <f t="shared" si="105"/>
        <v>Yes</v>
      </c>
      <c r="U166" s="1091">
        <f t="shared" si="106"/>
        <v>0.83696751364855315</v>
      </c>
      <c r="V166" s="1496">
        <f t="shared" si="97"/>
        <v>50761.440697670434</v>
      </c>
      <c r="W166" s="1493">
        <f t="shared" si="98"/>
        <v>0.39715603213077078</v>
      </c>
      <c r="X166" s="527">
        <f t="shared" si="107"/>
        <v>17121.955551397081</v>
      </c>
      <c r="Y166" s="1511">
        <f t="shared" si="108"/>
        <v>8332.9815591538136</v>
      </c>
      <c r="Z166" s="528">
        <f t="shared" si="109"/>
        <v>3957.8175022111564</v>
      </c>
      <c r="AA166" s="528">
        <f t="shared" si="110"/>
        <v>0</v>
      </c>
      <c r="AB166" s="528">
        <f t="shared" si="111"/>
        <v>21348.686084908382</v>
      </c>
      <c r="AC166" s="528">
        <f t="shared" si="112"/>
        <v>50761.440697670434</v>
      </c>
      <c r="AD166" s="1489">
        <f t="shared" si="113"/>
        <v>0</v>
      </c>
      <c r="AE166" s="1506">
        <f t="shared" si="114"/>
        <v>0.33730239559932051</v>
      </c>
      <c r="AF166" s="1506">
        <f t="shared" si="115"/>
        <v>0.16415967404834186</v>
      </c>
      <c r="AG166" s="1506">
        <f t="shared" si="116"/>
        <v>7.7968975029362994E-2</v>
      </c>
      <c r="AH166" s="1506">
        <f t="shared" si="129"/>
        <v>0</v>
      </c>
      <c r="AI166" s="1506">
        <f t="shared" si="117"/>
        <v>0.42056895532297461</v>
      </c>
      <c r="AJ166" s="1543">
        <f t="shared" si="118"/>
        <v>1</v>
      </c>
      <c r="AK166" s="1557">
        <f t="shared" si="119"/>
        <v>10607.835868745573</v>
      </c>
      <c r="AL166" s="1500">
        <f t="shared" si="120"/>
        <v>6172.9659559291949</v>
      </c>
      <c r="AM166" s="1500">
        <f t="shared" si="121"/>
        <v>341.15372672231274</v>
      </c>
      <c r="AN166" s="1500">
        <f t="shared" si="122"/>
        <v>17121.955551397081</v>
      </c>
      <c r="AO166" s="1565">
        <f t="shared" si="123"/>
        <v>0</v>
      </c>
    </row>
    <row r="167" spans="1:41">
      <c r="A167" s="873">
        <f>'Input data'!A147</f>
        <v>2047</v>
      </c>
      <c r="B167" s="1553">
        <f>'Input data'!B147</f>
        <v>74.373000000000005</v>
      </c>
      <c r="C167" s="1552">
        <f>'Input data'!C147</f>
        <v>6104.119999999999</v>
      </c>
      <c r="D167" s="1552">
        <f>'Input data'!D147</f>
        <v>11978813.898335585</v>
      </c>
      <c r="E167" s="1510">
        <f>'Input data'!J147*C167</f>
        <v>73367.673918776389</v>
      </c>
      <c r="F167" s="1511">
        <f>'Input data'!L147</f>
        <v>85346.487817111978</v>
      </c>
      <c r="G167" s="1511">
        <f t="shared" si="134"/>
        <v>16190.101088088571</v>
      </c>
      <c r="H167" s="1511">
        <f t="shared" si="125"/>
        <v>37150.337557070343</v>
      </c>
      <c r="I167" s="1513">
        <f t="shared" si="99"/>
        <v>11978.813898335586</v>
      </c>
      <c r="J167" s="1506">
        <f t="shared" si="132"/>
        <v>0.2</v>
      </c>
      <c r="K167" s="1514">
        <f t="shared" si="126"/>
        <v>1658.4938731722154</v>
      </c>
      <c r="L167" s="1514">
        <f t="shared" si="101"/>
        <v>0</v>
      </c>
      <c r="M167" s="1511">
        <f t="shared" si="127"/>
        <v>1658.4938731722154</v>
      </c>
      <c r="N167" s="1456">
        <f t="shared" si="131"/>
        <v>0.5</v>
      </c>
      <c r="O167" s="1513">
        <f t="shared" si="102"/>
        <v>751.91700000000026</v>
      </c>
      <c r="P167" s="1698">
        <f t="shared" si="130"/>
        <v>2410.4108731722158</v>
      </c>
      <c r="Q167" s="1366">
        <f t="shared" si="103"/>
        <v>50930.027771986701</v>
      </c>
      <c r="R167" s="1366">
        <f t="shared" si="128"/>
        <v>34739.926683898128</v>
      </c>
      <c r="S167" s="1091">
        <f t="shared" si="104"/>
        <v>0.84020476213247219</v>
      </c>
      <c r="T167" s="135" t="str">
        <f t="shared" si="105"/>
        <v>Yes</v>
      </c>
      <c r="U167" s="1091">
        <f t="shared" si="106"/>
        <v>0.84020476213247219</v>
      </c>
      <c r="V167" s="1496">
        <f t="shared" si="97"/>
        <v>50606.561133213858</v>
      </c>
      <c r="W167" s="1493">
        <f t="shared" si="98"/>
        <v>0.40704576805013837</v>
      </c>
      <c r="X167" s="527">
        <f t="shared" si="107"/>
        <v>16190.101088088575</v>
      </c>
      <c r="Y167" s="1511">
        <f t="shared" si="108"/>
        <v>8270.9097316987645</v>
      </c>
      <c r="Z167" s="528">
        <f t="shared" si="109"/>
        <v>4067.3652769905207</v>
      </c>
      <c r="AA167" s="528">
        <f t="shared" si="110"/>
        <v>0</v>
      </c>
      <c r="AB167" s="528">
        <f t="shared" si="111"/>
        <v>22078.185036435996</v>
      </c>
      <c r="AC167" s="528">
        <f t="shared" si="112"/>
        <v>50606.561133213858</v>
      </c>
      <c r="AD167" s="1489">
        <f t="shared" si="113"/>
        <v>0</v>
      </c>
      <c r="AE167" s="1506">
        <f t="shared" si="114"/>
        <v>0.31992098900912602</v>
      </c>
      <c r="AF167" s="1506">
        <f t="shared" si="115"/>
        <v>0.16343552192623578</v>
      </c>
      <c r="AG167" s="1506">
        <f t="shared" si="116"/>
        <v>8.0372291377076924E-2</v>
      </c>
      <c r="AH167" s="1506">
        <f t="shared" si="129"/>
        <v>0</v>
      </c>
      <c r="AI167" s="1506">
        <f t="shared" si="117"/>
        <v>0.43627119768756123</v>
      </c>
      <c r="AJ167" s="1543">
        <f t="shared" si="118"/>
        <v>1</v>
      </c>
      <c r="AK167" s="1557">
        <f t="shared" si="119"/>
        <v>9583.0511186684671</v>
      </c>
      <c r="AL167" s="1500">
        <f t="shared" si="120"/>
        <v>6257.1386721655645</v>
      </c>
      <c r="AM167" s="1500">
        <f t="shared" si="121"/>
        <v>349.91129725454044</v>
      </c>
      <c r="AN167" s="1500">
        <f t="shared" si="122"/>
        <v>16190.101088088573</v>
      </c>
      <c r="AO167" s="1565">
        <f t="shared" si="123"/>
        <v>0</v>
      </c>
    </row>
    <row r="168" spans="1:41">
      <c r="A168" s="873">
        <f>'Input data'!A148</f>
        <v>2048</v>
      </c>
      <c r="B168" s="1553">
        <f>'Input data'!B148</f>
        <v>74.753</v>
      </c>
      <c r="C168" s="1552">
        <f>'Input data'!C148</f>
        <v>6308.13</v>
      </c>
      <c r="D168" s="1552">
        <f>'Input data'!D148</f>
        <v>10697832.960739207</v>
      </c>
      <c r="E168" s="1510">
        <f>'Input data'!J148*C168</f>
        <v>75819.745496033996</v>
      </c>
      <c r="F168" s="1511">
        <f>'Input data'!L148</f>
        <v>86517.578456773204</v>
      </c>
      <c r="G168" s="1511">
        <f t="shared" si="134"/>
        <v>15308.962370313993</v>
      </c>
      <c r="H168" s="1511">
        <f t="shared" si="125"/>
        <v>38236.352946282335</v>
      </c>
      <c r="I168" s="1513">
        <f t="shared" si="99"/>
        <v>10697.832960739206</v>
      </c>
      <c r="J168" s="417">
        <f t="shared" si="132"/>
        <v>0.2</v>
      </c>
      <c r="K168" s="1514">
        <f t="shared" si="126"/>
        <v>1481.1391655455122</v>
      </c>
      <c r="L168" s="1514">
        <f t="shared" si="101"/>
        <v>0</v>
      </c>
      <c r="M168" s="1511">
        <f t="shared" si="127"/>
        <v>1481.1391655455122</v>
      </c>
      <c r="N168" s="1456">
        <f t="shared" si="131"/>
        <v>0.5</v>
      </c>
      <c r="O168" s="1513">
        <f t="shared" si="102"/>
        <v>751.91700000000026</v>
      </c>
      <c r="P168" s="1698">
        <f t="shared" si="130"/>
        <v>2233.0561655455126</v>
      </c>
      <c r="Q168" s="1366">
        <f t="shared" si="103"/>
        <v>51312.259151050821</v>
      </c>
      <c r="R168" s="1366">
        <f t="shared" si="128"/>
        <v>36003.296780736826</v>
      </c>
      <c r="S168" s="1091">
        <f t="shared" si="104"/>
        <v>0.84210372967803337</v>
      </c>
      <c r="T168" s="135" t="str">
        <f t="shared" si="105"/>
        <v>Yes</v>
      </c>
      <c r="U168" s="1091">
        <f t="shared" si="106"/>
        <v>0.84210372967803337</v>
      </c>
      <c r="V168" s="1496">
        <f t="shared" si="97"/>
        <v>50514.281676036378</v>
      </c>
      <c r="W168" s="1493">
        <f t="shared" si="98"/>
        <v>0.41613851685325609</v>
      </c>
      <c r="X168" s="527">
        <f t="shared" si="107"/>
        <v>15308.962370313993</v>
      </c>
      <c r="Y168" s="1511">
        <f t="shared" si="108"/>
        <v>8211.0708781906142</v>
      </c>
      <c r="Z168" s="528">
        <f t="shared" si="109"/>
        <v>4178.1731580591822</v>
      </c>
      <c r="AA168" s="528">
        <f t="shared" si="110"/>
        <v>0</v>
      </c>
      <c r="AB168" s="528">
        <f t="shared" si="111"/>
        <v>22816.075269472592</v>
      </c>
      <c r="AC168" s="528">
        <f t="shared" si="112"/>
        <v>50514.281676036378</v>
      </c>
      <c r="AD168" s="1489">
        <f t="shared" si="113"/>
        <v>0</v>
      </c>
      <c r="AE168" s="1506">
        <f t="shared" si="114"/>
        <v>0.30306206210146819</v>
      </c>
      <c r="AF168" s="1506">
        <f t="shared" si="115"/>
        <v>0.16254949304932687</v>
      </c>
      <c r="AG168" s="1506">
        <f t="shared" si="116"/>
        <v>8.271271053313381E-2</v>
      </c>
      <c r="AH168" s="1506">
        <f t="shared" si="129"/>
        <v>0</v>
      </c>
      <c r="AI168" s="1506">
        <f t="shared" si="117"/>
        <v>0.45167573431607122</v>
      </c>
      <c r="AJ168" s="1543">
        <f t="shared" si="118"/>
        <v>1</v>
      </c>
      <c r="AK168" s="1557">
        <f t="shared" si="119"/>
        <v>8558.2663685913649</v>
      </c>
      <c r="AL168" s="1500">
        <f t="shared" si="120"/>
        <v>6389.4193279923611</v>
      </c>
      <c r="AM168" s="1500">
        <f t="shared" si="121"/>
        <v>361.27667373026611</v>
      </c>
      <c r="AN168" s="1500">
        <f t="shared" si="122"/>
        <v>15308.962370313991</v>
      </c>
      <c r="AO168" s="1565">
        <f t="shared" si="123"/>
        <v>0</v>
      </c>
    </row>
    <row r="169" spans="1:41">
      <c r="A169" s="873">
        <f>'Input data'!A149</f>
        <v>2049</v>
      </c>
      <c r="B169" s="1553">
        <f>'Input data'!B149</f>
        <v>75.134</v>
      </c>
      <c r="C169" s="1552">
        <f>'Input data'!C149</f>
        <v>6522.2000000000007</v>
      </c>
      <c r="D169" s="1552">
        <f>'Input data'!D149</f>
        <v>9416852.0231428221</v>
      </c>
      <c r="E169" s="1510">
        <f>'Input data'!J149*C169</f>
        <v>78392.731930735885</v>
      </c>
      <c r="F169" s="1511">
        <f>'Input data'!L149</f>
        <v>87809.583953878711</v>
      </c>
      <c r="G169" s="1511">
        <f t="shared" si="134"/>
        <v>14475.779217222871</v>
      </c>
      <c r="H169" s="1511">
        <f t="shared" si="125"/>
        <v>39343.794576894688</v>
      </c>
      <c r="I169" s="1513">
        <f t="shared" si="99"/>
        <v>9416.8520231428229</v>
      </c>
      <c r="J169" s="417">
        <f t="shared" si="132"/>
        <v>0.2</v>
      </c>
      <c r="K169" s="1514">
        <f t="shared" si="126"/>
        <v>1303.7844579188088</v>
      </c>
      <c r="L169" s="1514">
        <f t="shared" si="101"/>
        <v>0</v>
      </c>
      <c r="M169" s="1511">
        <f t="shared" si="127"/>
        <v>1303.7844579188088</v>
      </c>
      <c r="N169" s="1456">
        <f t="shared" si="131"/>
        <v>0.5</v>
      </c>
      <c r="O169" s="1513">
        <f t="shared" si="102"/>
        <v>751.91700000000026</v>
      </c>
      <c r="P169" s="1698">
        <f t="shared" si="130"/>
        <v>2055.701457918809</v>
      </c>
      <c r="Q169" s="1366">
        <f t="shared" si="103"/>
        <v>51763.87233619875</v>
      </c>
      <c r="R169" s="1366">
        <f t="shared" si="128"/>
        <v>37288.093118975878</v>
      </c>
      <c r="S169" s="1091">
        <f t="shared" si="104"/>
        <v>0.84304236326963078</v>
      </c>
      <c r="T169" s="135" t="str">
        <f t="shared" si="105"/>
        <v>Yes</v>
      </c>
      <c r="U169" s="1091">
        <f t="shared" si="106"/>
        <v>0.84304236326963078</v>
      </c>
      <c r="V169" s="1496">
        <f t="shared" si="97"/>
        <v>50521.490834902841</v>
      </c>
      <c r="W169" s="1493">
        <f t="shared" si="98"/>
        <v>0.42464719043152677</v>
      </c>
      <c r="X169" s="527">
        <f t="shared" si="107"/>
        <v>14475.779217222876</v>
      </c>
      <c r="Y169" s="1511">
        <f t="shared" si="108"/>
        <v>8160.9146617108026</v>
      </c>
      <c r="Z169" s="528">
        <f t="shared" si="109"/>
        <v>4294.4451207098782</v>
      </c>
      <c r="AA169" s="528">
        <f t="shared" si="110"/>
        <v>0</v>
      </c>
      <c r="AB169" s="528">
        <f t="shared" si="111"/>
        <v>23590.351835259287</v>
      </c>
      <c r="AC169" s="528">
        <f t="shared" si="112"/>
        <v>50521.490834902841</v>
      </c>
      <c r="AD169" s="1489">
        <f t="shared" si="113"/>
        <v>0</v>
      </c>
      <c r="AE169" s="417">
        <f t="shared" si="114"/>
        <v>0.28652715860123162</v>
      </c>
      <c r="AF169" s="417">
        <f t="shared" si="115"/>
        <v>0.16153352814507255</v>
      </c>
      <c r="AG169" s="417">
        <f t="shared" si="116"/>
        <v>8.5002343552044488E-2</v>
      </c>
      <c r="AH169" s="417">
        <f t="shared" si="129"/>
        <v>0</v>
      </c>
      <c r="AI169" s="417">
        <f t="shared" si="117"/>
        <v>0.46693696970165144</v>
      </c>
      <c r="AJ169" s="525">
        <f t="shared" si="118"/>
        <v>1</v>
      </c>
      <c r="AK169" s="1499">
        <f t="shared" si="119"/>
        <v>7533.4816185142581</v>
      </c>
      <c r="AL169" s="1500">
        <f t="shared" si="120"/>
        <v>6566.9762831888329</v>
      </c>
      <c r="AM169" s="1500">
        <f t="shared" si="121"/>
        <v>375.32131551978239</v>
      </c>
      <c r="AN169" s="1500">
        <f t="shared" si="122"/>
        <v>14475.779217222875</v>
      </c>
      <c r="AO169" s="1565">
        <f t="shared" si="123"/>
        <v>0</v>
      </c>
    </row>
    <row r="170" spans="1:41" ht="15" thickBot="1">
      <c r="A170" s="1568">
        <f>'Input data'!A150</f>
        <v>2050</v>
      </c>
      <c r="B170" s="1569">
        <f>'Input data'!B150</f>
        <v>75.518000000000001</v>
      </c>
      <c r="C170" s="1570">
        <f>'Input data'!C150</f>
        <v>6747.1300000000019</v>
      </c>
      <c r="D170" s="1570">
        <f>'Input data'!D150</f>
        <v>8135871.0855464395</v>
      </c>
      <c r="E170" s="670">
        <f>'Input data'!J150*C170</f>
        <v>81096.248718503892</v>
      </c>
      <c r="F170" s="667">
        <f>'Input data'!L150</f>
        <v>89232.119804050337</v>
      </c>
      <c r="G170" s="667">
        <f>G137*(1-$C$6)</f>
        <v>13687.941669523079</v>
      </c>
      <c r="H170" s="667">
        <f t="shared" si="125"/>
        <v>40480.789848047149</v>
      </c>
      <c r="I170" s="659">
        <f t="shared" si="99"/>
        <v>8135.8710855464396</v>
      </c>
      <c r="J170" s="651">
        <f t="shared" si="132"/>
        <v>0.2</v>
      </c>
      <c r="K170" s="1520">
        <f t="shared" si="126"/>
        <v>1126.4297502921052</v>
      </c>
      <c r="L170" s="1520">
        <f t="shared" si="101"/>
        <v>0</v>
      </c>
      <c r="M170" s="1520">
        <f t="shared" si="127"/>
        <v>1126.4297502921052</v>
      </c>
      <c r="N170" s="1524">
        <f t="shared" si="131"/>
        <v>0.5</v>
      </c>
      <c r="O170" s="1522">
        <f t="shared" si="102"/>
        <v>751.91700000000026</v>
      </c>
      <c r="P170" s="1699">
        <f t="shared" si="130"/>
        <v>1878.3467502921053</v>
      </c>
      <c r="Q170" s="1487">
        <f t="shared" si="103"/>
        <v>52290.384767278127</v>
      </c>
      <c r="R170" s="1487">
        <f t="shared" si="128"/>
        <v>38602.443097755051</v>
      </c>
      <c r="S170" s="1094">
        <f t="shared" si="104"/>
        <v>0.84318523124465938</v>
      </c>
      <c r="T170" s="1105" t="str">
        <f t="shared" si="105"/>
        <v>Yes</v>
      </c>
      <c r="U170" s="1094">
        <f t="shared" si="106"/>
        <v>0.84318523124465938</v>
      </c>
      <c r="V170" s="1497">
        <f t="shared" si="97"/>
        <v>50629.676706295286</v>
      </c>
      <c r="W170" s="1494">
        <f t="shared" si="98"/>
        <v>0.4326070386148424</v>
      </c>
      <c r="X170" s="670">
        <f t="shared" si="107"/>
        <v>13687.941669523076</v>
      </c>
      <c r="Y170" s="1520">
        <f t="shared" si="108"/>
        <v>8121.2110732755027</v>
      </c>
      <c r="Z170" s="667">
        <f t="shared" si="109"/>
        <v>4416.6156843527096</v>
      </c>
      <c r="AA170" s="667">
        <f t="shared" si="110"/>
        <v>0</v>
      </c>
      <c r="AB170" s="667">
        <f t="shared" si="111"/>
        <v>24403.908279144001</v>
      </c>
      <c r="AC170" s="667">
        <f t="shared" si="112"/>
        <v>50629.676706295286</v>
      </c>
      <c r="AD170" s="1490">
        <f t="shared" si="113"/>
        <v>0</v>
      </c>
      <c r="AE170" s="651">
        <f t="shared" si="114"/>
        <v>0.27035411955970717</v>
      </c>
      <c r="AF170" s="651">
        <f t="shared" si="115"/>
        <v>0.16040416612547148</v>
      </c>
      <c r="AG170" s="651">
        <f t="shared" si="116"/>
        <v>8.7233732697399355E-2</v>
      </c>
      <c r="AH170" s="651">
        <f t="shared" si="129"/>
        <v>0</v>
      </c>
      <c r="AI170" s="651">
        <f>AB170/AC170</f>
        <v>0.48200798161742209</v>
      </c>
      <c r="AJ170" s="652">
        <f t="shared" si="118"/>
        <v>1</v>
      </c>
      <c r="AK170" s="1501">
        <f t="shared" si="119"/>
        <v>6508.6968684371514</v>
      </c>
      <c r="AL170" s="1502">
        <f t="shared" si="120"/>
        <v>6787.2668544011776</v>
      </c>
      <c r="AM170" s="1502">
        <f t="shared" si="121"/>
        <v>391.97794668474421</v>
      </c>
      <c r="AN170" s="1502">
        <f t="shared" si="122"/>
        <v>13687.941669523074</v>
      </c>
      <c r="AO170" s="1566">
        <f t="shared" si="123"/>
        <v>0</v>
      </c>
    </row>
    <row r="172" spans="1:41" ht="23.4">
      <c r="A172" s="686" t="s">
        <v>640</v>
      </c>
    </row>
    <row r="173" spans="1:41" ht="24" thickBot="1">
      <c r="A173" s="686"/>
    </row>
    <row r="174" spans="1:41"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104" t="s">
        <v>592</v>
      </c>
      <c r="Y174" s="1097"/>
      <c r="Z174" s="1097"/>
      <c r="AA174" s="1097"/>
      <c r="AB174" s="1097"/>
      <c r="AC174" s="1097"/>
      <c r="AD174" s="1097"/>
      <c r="AE174" s="1097"/>
      <c r="AF174" s="1097"/>
      <c r="AG174" s="1097"/>
      <c r="AH174" s="1097"/>
      <c r="AI174" s="1097"/>
      <c r="AJ174" s="1097"/>
      <c r="AK174" s="1850" t="s">
        <v>730</v>
      </c>
      <c r="AL174" s="1851"/>
      <c r="AM174" s="1851"/>
      <c r="AN174" s="1851"/>
      <c r="AO174" s="1852"/>
    </row>
    <row r="175" spans="1:41" ht="58.95"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2"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56.521999999999998</v>
      </c>
      <c r="C177" s="738">
        <f>'Input data'!C117</f>
        <v>3120.54</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v>
      </c>
      <c r="C178" s="236">
        <f>'Input data'!C118</f>
        <v>3152.24</v>
      </c>
      <c r="D178" s="528">
        <f>'Input data'!E118</f>
        <v>50172070.130067617</v>
      </c>
      <c r="E178" s="527">
        <f>'Input data'!J118*C178</f>
        <v>37887.937398629729</v>
      </c>
      <c r="F178" s="528">
        <f>'Input data'!L118</f>
        <v>88060.007528697344</v>
      </c>
      <c r="G178" s="528">
        <f>$G$137*(1+((($G$150/$G$137)^(1/($A$150-$A$137)))-1))^(A178-$A$137)</f>
        <v>64886.148572305057</v>
      </c>
      <c r="H178" s="528">
        <f>E178*$B$12+I178*$E$80-G178</f>
        <v>3938.3123321961466</v>
      </c>
      <c r="I178" s="530">
        <f t="shared" ref="I178:I210" si="138">D178/1000</f>
        <v>50172.070130067616</v>
      </c>
      <c r="J178" s="417">
        <f t="shared" ref="J178:J188" si="139">$J$137*(1+((($J$150/$J$137)^(1/($A$150-$A$137)))-1))^(A178-$A$137)</f>
        <v>6.7388021833337503E-2</v>
      </c>
      <c r="K178" s="775">
        <f>(I178)*J178-(I178)*$J$137</f>
        <v>293.0191002049919</v>
      </c>
      <c r="L178" s="775">
        <f t="shared" ref="L178:L210" si="140">(E178)*$C$12*$G$12-(E178)*$C$12*$G$12</f>
        <v>0</v>
      </c>
      <c r="M178" s="530">
        <f>L178+K178</f>
        <v>293.0191002049919</v>
      </c>
      <c r="N178" s="649">
        <f>($N$142-$N$137)/($A$102-$A$97)+N177</f>
        <v>0.05</v>
      </c>
      <c r="O178" s="530">
        <f t="shared" ref="O178:O210" si="141">N178*$E$177*($C$85)*$B$12</f>
        <v>75.191700000000026</v>
      </c>
      <c r="P178" s="1483">
        <f>O178+M178</f>
        <v>368.21080020499193</v>
      </c>
      <c r="Q178" s="1366">
        <f t="shared" ref="Q178:Q210" si="142">E178*$B$12+(1-$J$137)*I178-P178</f>
        <v>68456.25010429621</v>
      </c>
      <c r="R178" s="1366">
        <f>Q178-G178</f>
        <v>3570.101531991153</v>
      </c>
      <c r="S178" s="576">
        <f t="shared" ref="S178:S210" si="143">R178/(Q178-I178*(1-J178))</f>
        <v>0.16478525004343605</v>
      </c>
      <c r="T178" s="135" t="str">
        <f t="shared" ref="T178:T210" si="144">IF(AND(S178&gt;=0,S178&lt;=1),"Yes","No")</f>
        <v>Yes</v>
      </c>
      <c r="U178" s="1091">
        <f t="shared" ref="U178:U210" si="145">IF(S178&lt;=0,0,IF(S178&gt;=1,1,S178))</f>
        <v>0.16478525004343605</v>
      </c>
      <c r="V178" s="1496">
        <f t="shared" si="136"/>
        <v>84489.90599670622</v>
      </c>
      <c r="W178" s="1493">
        <f t="shared" si="137"/>
        <v>4.0541690060924451E-2</v>
      </c>
      <c r="X178" s="527">
        <f t="shared" ref="X178:X210" si="146">(E178*$B$12-O178-L178)*(1-U178)+I178*(1-J178)</f>
        <v>64886.148572305072</v>
      </c>
      <c r="Y178" s="1511">
        <f t="shared" ref="Y178:Y210" si="147">I178*J178+E178*$G$12*$C$12</f>
        <v>6414.9921583644846</v>
      </c>
      <c r="Z178" s="1533">
        <f t="shared" ref="Z178:Z210" si="148">($C$12*$H$12*E178+O178)</f>
        <v>1787.3285316252955</v>
      </c>
      <c r="AA178" s="1533">
        <f t="shared" ref="AA178:AA210" si="149">$F$137*$D$11</f>
        <v>0</v>
      </c>
      <c r="AB178" s="1533">
        <f t="shared" ref="AB178:AB210" si="150">E178*$E$12</f>
        <v>11401.436734411351</v>
      </c>
      <c r="AC178" s="1533">
        <f t="shared" ref="AC178:AC210" si="151">SUM(X178:AB178)</f>
        <v>84489.90599670622</v>
      </c>
      <c r="AD178" s="1489">
        <f t="shared" ref="AD178:AD210" si="152">X178-G178</f>
        <v>0</v>
      </c>
      <c r="AE178" s="649">
        <f t="shared" ref="AE178:AE210" si="153">X178/AC178</f>
        <v>0.76797515403596983</v>
      </c>
      <c r="AF178" s="417">
        <f t="shared" ref="AF178:AF210" si="154">Y178/AC178</f>
        <v>7.5926136769693744E-2</v>
      </c>
      <c r="AG178" s="417">
        <f t="shared" ref="AG178:AG210" si="155">Z178/AC178</f>
        <v>2.1154343948435371E-2</v>
      </c>
      <c r="AH178" s="417">
        <f>AA178/AC178</f>
        <v>0</v>
      </c>
      <c r="AI178" s="417">
        <f t="shared" ref="AI178:AI209" si="156">AB178/AC178</f>
        <v>0.13494436524590084</v>
      </c>
      <c r="AJ178" s="525">
        <f t="shared" ref="AJ178:AJ210" si="157">SUM(AE178:AI178)</f>
        <v>0.99999999999999978</v>
      </c>
      <c r="AK178" s="1499">
        <f t="shared" ref="AK178:AK210" si="158">I178*(1-$J$137)-K178</f>
        <v>46791.07357271888</v>
      </c>
      <c r="AL178" s="1500">
        <f t="shared" ref="AL178:AL210" si="159">(E178*$C$86*$B$12-L178)*(1-U178)</f>
        <v>16889.092557223823</v>
      </c>
      <c r="AM178" s="1500">
        <f t="shared" ref="AM178:AM210" si="160">(E178*($C$85)*$B$12-O178)*(1-U178)</f>
        <v>1205.9824423623629</v>
      </c>
      <c r="AN178" s="1500">
        <f t="shared" ref="AN178:AN210" si="161">SUM(AK178:AM178)</f>
        <v>64886.148572305072</v>
      </c>
      <c r="AO178" s="1186">
        <f t="shared" ref="AO178:AO210" si="162">AN178-X178</f>
        <v>0</v>
      </c>
    </row>
    <row r="179" spans="1:41">
      <c r="A179" s="127">
        <f>'Input data'!A119</f>
        <v>2019</v>
      </c>
      <c r="B179" s="662">
        <f>'Input data'!B119</f>
        <v>58.365000000000002</v>
      </c>
      <c r="C179" s="236">
        <f>'Input data'!C119</f>
        <v>3179.2899999999995</v>
      </c>
      <c r="D179" s="528">
        <f>'Input data'!E119</f>
        <v>49847473.41597119</v>
      </c>
      <c r="E179" s="527">
        <f>'Input data'!J119*C179</f>
        <v>38213.061344342277</v>
      </c>
      <c r="F179" s="528">
        <f>'Input data'!L119</f>
        <v>88060.534760313458</v>
      </c>
      <c r="G179" s="528">
        <f t="shared" ref="G179:G189" si="163">$G$137*(1+((($G$150/$G$137)^(1/($A$150-$A$137)))-1))^(A179-$A$137)</f>
        <v>61517.098453473154</v>
      </c>
      <c r="H179" s="528">
        <f t="shared" si="135"/>
        <v>7189.3023654873396</v>
      </c>
      <c r="I179" s="530">
        <f t="shared" si="138"/>
        <v>49847.473415971188</v>
      </c>
      <c r="J179" s="417">
        <f t="shared" si="139"/>
        <v>7.3782491286642105E-2</v>
      </c>
      <c r="K179" s="775">
        <f t="shared" ref="K179:K210" si="164">(I179)*J179-(I179)*$J$137</f>
        <v>609.87150953932951</v>
      </c>
      <c r="L179" s="1514">
        <f t="shared" si="140"/>
        <v>0</v>
      </c>
      <c r="M179" s="1513">
        <f t="shared" ref="M179:M210" si="165">L179+K179</f>
        <v>609.87150953932951</v>
      </c>
      <c r="N179" s="1456">
        <f>($N$142-$N$137)/($A$102-$A$97)+N178</f>
        <v>0.1</v>
      </c>
      <c r="O179" s="530">
        <f t="shared" si="141"/>
        <v>150.38340000000005</v>
      </c>
      <c r="P179" s="1483">
        <f>O179+M179</f>
        <v>760.25490953932956</v>
      </c>
      <c r="Q179" s="1366">
        <f t="shared" si="142"/>
        <v>67946.14590942116</v>
      </c>
      <c r="R179" s="1366">
        <f t="shared" ref="R179:R210" si="166">Q179-G179</f>
        <v>6429.0474559480062</v>
      </c>
      <c r="S179" s="576">
        <f t="shared" si="143"/>
        <v>0.29522809829328112</v>
      </c>
      <c r="T179" s="135" t="str">
        <f t="shared" si="144"/>
        <v>Yes</v>
      </c>
      <c r="U179" s="1091">
        <f t="shared" si="145"/>
        <v>0.29522809829328112</v>
      </c>
      <c r="V179" s="1496">
        <f t="shared" si="136"/>
        <v>81631.487304365466</v>
      </c>
      <c r="W179" s="1493">
        <f t="shared" si="137"/>
        <v>7.3007136209731427E-2</v>
      </c>
      <c r="X179" s="527">
        <f t="shared" si="146"/>
        <v>61517.098453473154</v>
      </c>
      <c r="Y179" s="1511">
        <f t="shared" si="147"/>
        <v>6737.9016952250222</v>
      </c>
      <c r="Z179" s="1533">
        <f t="shared" si="148"/>
        <v>1877.2124191793723</v>
      </c>
      <c r="AA179" s="1533">
        <f t="shared" si="149"/>
        <v>0</v>
      </c>
      <c r="AB179" s="1533">
        <f t="shared" si="150"/>
        <v>11499.274736487914</v>
      </c>
      <c r="AC179" s="1533">
        <f t="shared" si="151"/>
        <v>81631.487304365466</v>
      </c>
      <c r="AD179" s="1489">
        <f t="shared" si="152"/>
        <v>0</v>
      </c>
      <c r="AE179" s="649">
        <f t="shared" si="153"/>
        <v>0.75359521778777339</v>
      </c>
      <c r="AF179" s="417">
        <f t="shared" si="154"/>
        <v>8.2540474487528964E-2</v>
      </c>
      <c r="AG179" s="417">
        <f t="shared" si="155"/>
        <v>2.2996180532398353E-2</v>
      </c>
      <c r="AH179" s="417">
        <f t="shared" ref="AH179:AH210" si="167">AA179/AC179</f>
        <v>0</v>
      </c>
      <c r="AI179" s="417">
        <f t="shared" si="156"/>
        <v>0.14086812719229924</v>
      </c>
      <c r="AJ179" s="525">
        <f t="shared" si="157"/>
        <v>1</v>
      </c>
      <c r="AK179" s="1499">
        <f t="shared" si="158"/>
        <v>46169.602642996171</v>
      </c>
      <c r="AL179" s="1500">
        <f t="shared" si="159"/>
        <v>14373.668012098096</v>
      </c>
      <c r="AM179" s="1500">
        <f t="shared" si="160"/>
        <v>973.82779837888586</v>
      </c>
      <c r="AN179" s="1500">
        <f t="shared" si="161"/>
        <v>61517.098453473154</v>
      </c>
      <c r="AO179" s="1186">
        <f t="shared" si="162"/>
        <v>0</v>
      </c>
    </row>
    <row r="180" spans="1:41">
      <c r="A180" s="127">
        <f>'Input data'!A120</f>
        <v>2020</v>
      </c>
      <c r="B180" s="662">
        <f>'Input data'!B120</f>
        <v>59.308999999999997</v>
      </c>
      <c r="C180" s="236">
        <f>'Input data'!C120</f>
        <v>2948.9199999999987</v>
      </c>
      <c r="D180" s="528">
        <f>'Input data'!E120</f>
        <v>47586944.933914557</v>
      </c>
      <c r="E180" s="527">
        <f>'Input data'!J120*C180</f>
        <v>35444.159186345947</v>
      </c>
      <c r="F180" s="528">
        <f>'Input data'!L120</f>
        <v>83031.104120260512</v>
      </c>
      <c r="G180" s="528">
        <f t="shared" si="163"/>
        <v>58322.977791126912</v>
      </c>
      <c r="H180" s="528">
        <f t="shared" si="135"/>
        <v>6673.2091897572027</v>
      </c>
      <c r="I180" s="530">
        <f t="shared" si="138"/>
        <v>47586.944933914558</v>
      </c>
      <c r="J180" s="417">
        <f t="shared" si="139"/>
        <v>8.0783733850016193E-2</v>
      </c>
      <c r="K180" s="775">
        <f t="shared" si="164"/>
        <v>915.38224694159044</v>
      </c>
      <c r="L180" s="1514">
        <f t="shared" si="140"/>
        <v>0</v>
      </c>
      <c r="M180" s="1513">
        <f t="shared" si="165"/>
        <v>915.38224694159044</v>
      </c>
      <c r="N180" s="1456">
        <f>($N$142-$N$137)/($A$102-$A$97)+N179</f>
        <v>0.15000000000000002</v>
      </c>
      <c r="O180" s="530">
        <f t="shared" si="141"/>
        <v>225.57510000000011</v>
      </c>
      <c r="P180" s="1483">
        <f t="shared" ref="P180:P210" si="168">O180+M180</f>
        <v>1140.9573469415905</v>
      </c>
      <c r="Q180" s="1366">
        <f t="shared" si="142"/>
        <v>63855.229633942523</v>
      </c>
      <c r="R180" s="1366">
        <f t="shared" si="166"/>
        <v>5532.2518428156109</v>
      </c>
      <c r="S180" s="576">
        <f t="shared" si="143"/>
        <v>0.27506486001542335</v>
      </c>
      <c r="T180" s="135" t="str">
        <f t="shared" si="144"/>
        <v>Yes</v>
      </c>
      <c r="U180" s="1091">
        <f t="shared" si="145"/>
        <v>0.27506486001542335</v>
      </c>
      <c r="V180" s="1496">
        <f t="shared" si="136"/>
        <v>77498.852277444908</v>
      </c>
      <c r="W180" s="1493">
        <f t="shared" si="137"/>
        <v>6.6628667671368103E-2</v>
      </c>
      <c r="X180" s="527">
        <f t="shared" si="146"/>
        <v>58322.977791126919</v>
      </c>
      <c r="Y180" s="1511">
        <f t="shared" si="147"/>
        <v>6682.5534785328</v>
      </c>
      <c r="Z180" s="1533">
        <f t="shared" si="148"/>
        <v>1827.278823547847</v>
      </c>
      <c r="AA180" s="1533">
        <f t="shared" si="149"/>
        <v>0</v>
      </c>
      <c r="AB180" s="1533">
        <f t="shared" si="150"/>
        <v>10666.04218423734</v>
      </c>
      <c r="AC180" s="1533">
        <f t="shared" si="151"/>
        <v>77498.852277444908</v>
      </c>
      <c r="AD180" s="1489">
        <f t="shared" si="152"/>
        <v>0</v>
      </c>
      <c r="AE180" s="649">
        <f t="shared" si="153"/>
        <v>0.75256569713228005</v>
      </c>
      <c r="AF180" s="417">
        <f t="shared" si="154"/>
        <v>8.6227773472171476E-2</v>
      </c>
      <c r="AG180" s="417">
        <f t="shared" si="155"/>
        <v>2.3578140447889629E-2</v>
      </c>
      <c r="AH180" s="417">
        <f t="shared" si="167"/>
        <v>0</v>
      </c>
      <c r="AI180" s="417">
        <f t="shared" si="156"/>
        <v>0.13762838894765878</v>
      </c>
      <c r="AJ180" s="525">
        <f t="shared" si="157"/>
        <v>1</v>
      </c>
      <c r="AK180" s="1499">
        <f t="shared" si="158"/>
        <v>43742.693839637825</v>
      </c>
      <c r="AL180" s="1500">
        <f t="shared" si="159"/>
        <v>13713.585784241033</v>
      </c>
      <c r="AM180" s="1500">
        <f t="shared" si="160"/>
        <v>866.69816724804878</v>
      </c>
      <c r="AN180" s="1500">
        <f t="shared" si="161"/>
        <v>58322.977791126905</v>
      </c>
      <c r="AO180" s="1186">
        <f t="shared" si="162"/>
        <v>0</v>
      </c>
    </row>
    <row r="181" spans="1:41">
      <c r="A181" s="127">
        <f>'Input data'!A121</f>
        <v>2021</v>
      </c>
      <c r="B181" s="662">
        <f>'Input data'!B121</f>
        <v>59.991999999999997</v>
      </c>
      <c r="C181" s="236">
        <f>'Input data'!C121</f>
        <v>3014.38</v>
      </c>
      <c r="D181" s="528">
        <f>'Input data'!E121</f>
        <v>47328556.831579238</v>
      </c>
      <c r="E181" s="527">
        <f>'Input data'!J121*C181</f>
        <v>36230.947115600815</v>
      </c>
      <c r="F181" s="528">
        <f>'Input data'!L121</f>
        <v>83559.503947180056</v>
      </c>
      <c r="G181" s="528">
        <f t="shared" si="163"/>
        <v>55294.7038130703</v>
      </c>
      <c r="H181" s="528">
        <f t="shared" si="135"/>
        <v>9910.4627843886556</v>
      </c>
      <c r="I181" s="530">
        <f t="shared" si="138"/>
        <v>47328.556831579241</v>
      </c>
      <c r="J181" s="417">
        <f t="shared" si="139"/>
        <v>8.8449326404511766E-2</v>
      </c>
      <c r="K181" s="775">
        <f t="shared" si="164"/>
        <v>1273.2133274943335</v>
      </c>
      <c r="L181" s="1514">
        <f t="shared" si="140"/>
        <v>0</v>
      </c>
      <c r="M181" s="1513">
        <f t="shared" si="165"/>
        <v>1273.2133274943335</v>
      </c>
      <c r="N181" s="1456">
        <f>($N$142-$N$137)/($A$102-$A$97)+N180</f>
        <v>0.2</v>
      </c>
      <c r="O181" s="530">
        <f t="shared" si="141"/>
        <v>300.7668000000001</v>
      </c>
      <c r="P181" s="1483">
        <f t="shared" si="168"/>
        <v>1573.9801274943336</v>
      </c>
      <c r="Q181" s="1366">
        <f t="shared" si="142"/>
        <v>63631.186469964625</v>
      </c>
      <c r="R181" s="1366">
        <f t="shared" si="166"/>
        <v>8336.4826568943245</v>
      </c>
      <c r="S181" s="576">
        <f t="shared" si="143"/>
        <v>0.40687981500750442</v>
      </c>
      <c r="T181" s="135" t="str">
        <f t="shared" si="144"/>
        <v>Yes</v>
      </c>
      <c r="U181" s="1091">
        <f t="shared" si="145"/>
        <v>0.40687981500750442</v>
      </c>
      <c r="V181" s="1496">
        <f t="shared" si="136"/>
        <v>75223.021290285746</v>
      </c>
      <c r="W181" s="1493">
        <f t="shared" si="137"/>
        <v>9.9767019466319495E-2</v>
      </c>
      <c r="X181" s="527">
        <f t="shared" si="146"/>
        <v>55294.7038130703</v>
      </c>
      <c r="Y181" s="1511">
        <f t="shared" si="147"/>
        <v>7087.4858706050427</v>
      </c>
      <c r="Z181" s="1533">
        <f t="shared" si="148"/>
        <v>1938.0250742794519</v>
      </c>
      <c r="AA181" s="1533">
        <f t="shared" si="149"/>
        <v>0</v>
      </c>
      <c r="AB181" s="1533">
        <f t="shared" si="150"/>
        <v>10902.806532330944</v>
      </c>
      <c r="AC181" s="1533">
        <f t="shared" si="151"/>
        <v>75223.021290285746</v>
      </c>
      <c r="AD181" s="1489">
        <f t="shared" si="152"/>
        <v>0</v>
      </c>
      <c r="AE181" s="649">
        <f t="shared" si="153"/>
        <v>0.73507688025036855</v>
      </c>
      <c r="AF181" s="417">
        <f t="shared" si="154"/>
        <v>9.4219638470175573E-2</v>
      </c>
      <c r="AG181" s="417">
        <f t="shared" si="155"/>
        <v>2.5763722874153253E-2</v>
      </c>
      <c r="AH181" s="417">
        <f t="shared" si="167"/>
        <v>0</v>
      </c>
      <c r="AI181" s="417">
        <f t="shared" si="156"/>
        <v>0.14493975840530252</v>
      </c>
      <c r="AJ181" s="525">
        <f t="shared" si="157"/>
        <v>0.99999999999999989</v>
      </c>
      <c r="AK181" s="1499">
        <f t="shared" si="158"/>
        <v>43142.377860128399</v>
      </c>
      <c r="AL181" s="1500">
        <f t="shared" si="159"/>
        <v>11469.106577694625</v>
      </c>
      <c r="AM181" s="1500">
        <f t="shared" si="160"/>
        <v>683.21937524726729</v>
      </c>
      <c r="AN181" s="1500">
        <f t="shared" si="161"/>
        <v>55294.703813070293</v>
      </c>
      <c r="AO181" s="1186">
        <f t="shared" si="162"/>
        <v>0</v>
      </c>
    </row>
    <row r="182" spans="1:41">
      <c r="A182" s="127">
        <f>'Input data'!A122</f>
        <v>2022</v>
      </c>
      <c r="B182" s="1553">
        <f>'Input data'!B122</f>
        <v>60.682000000000002</v>
      </c>
      <c r="C182" s="1552">
        <f>'Input data'!C122</f>
        <v>3077.2</v>
      </c>
      <c r="D182" s="1511">
        <f>'Input data'!E122</f>
        <v>45903210.392984279</v>
      </c>
      <c r="E182" s="1510">
        <f>'Input data'!J122*C182</f>
        <v>36986.003909303676</v>
      </c>
      <c r="F182" s="1511">
        <f>'Input data'!L122</f>
        <v>82889.214302287961</v>
      </c>
      <c r="G182" s="1511">
        <f t="shared" si="163"/>
        <v>52423.665347216396</v>
      </c>
      <c r="H182" s="1511">
        <f t="shared" si="135"/>
        <v>11877.138625692154</v>
      </c>
      <c r="I182" s="1513">
        <f t="shared" si="138"/>
        <v>45903.210392984278</v>
      </c>
      <c r="J182" s="1506">
        <f t="shared" si="139"/>
        <v>9.6842309318564565E-2</v>
      </c>
      <c r="K182" s="1514">
        <f t="shared" si="164"/>
        <v>1620.1341056462206</v>
      </c>
      <c r="L182" s="1514">
        <f t="shared" si="140"/>
        <v>0</v>
      </c>
      <c r="M182" s="1513">
        <f t="shared" si="165"/>
        <v>1620.1341056462206</v>
      </c>
      <c r="N182" s="1456">
        <f>$C$26</f>
        <v>0.25</v>
      </c>
      <c r="O182" s="530">
        <f t="shared" si="141"/>
        <v>375.95850000000013</v>
      </c>
      <c r="P182" s="1483">
        <f t="shared" si="168"/>
        <v>1996.0926056462208</v>
      </c>
      <c r="Q182" s="1366">
        <f t="shared" si="142"/>
        <v>62304.711367262331</v>
      </c>
      <c r="R182" s="1366">
        <f t="shared" si="166"/>
        <v>9881.0460200459347</v>
      </c>
      <c r="S182" s="576">
        <f t="shared" si="143"/>
        <v>0.47398214618791423</v>
      </c>
      <c r="T182" s="135" t="str">
        <f t="shared" si="144"/>
        <v>Yes</v>
      </c>
      <c r="U182" s="1091">
        <f t="shared" si="145"/>
        <v>0.47398214618791423</v>
      </c>
      <c r="V182" s="1496">
        <f t="shared" si="136"/>
        <v>73008.168282242026</v>
      </c>
      <c r="W182" s="1493">
        <f>(1-V182/F182)</f>
        <v>0.11920786200253786</v>
      </c>
      <c r="X182" s="527">
        <f t="shared" si="146"/>
        <v>52423.665347216396</v>
      </c>
      <c r="Y182" s="1511">
        <f t="shared" si="147"/>
        <v>7407.1433432915073</v>
      </c>
      <c r="Z182" s="1533">
        <f t="shared" si="148"/>
        <v>2047.3374109577192</v>
      </c>
      <c r="AA182" s="1533">
        <f t="shared" si="149"/>
        <v>0</v>
      </c>
      <c r="AB182" s="1533">
        <f t="shared" si="150"/>
        <v>11130.022180776405</v>
      </c>
      <c r="AC182" s="1533">
        <f t="shared" si="151"/>
        <v>73008.168282242026</v>
      </c>
      <c r="AD182" s="1489">
        <f t="shared" si="152"/>
        <v>0</v>
      </c>
      <c r="AE182" s="649">
        <f t="shared" si="153"/>
        <v>0.71805205610079037</v>
      </c>
      <c r="AF182" s="417">
        <f t="shared" si="154"/>
        <v>0.10145636464479231</v>
      </c>
      <c r="AG182" s="417">
        <f t="shared" si="155"/>
        <v>2.8042580154085287E-2</v>
      </c>
      <c r="AH182" s="417">
        <f t="shared" si="167"/>
        <v>0</v>
      </c>
      <c r="AI182" s="417">
        <f t="shared" si="156"/>
        <v>0.15244899910033205</v>
      </c>
      <c r="AJ182" s="525">
        <f t="shared" si="157"/>
        <v>1</v>
      </c>
      <c r="AK182" s="1499">
        <f t="shared" si="158"/>
        <v>41457.837493391751</v>
      </c>
      <c r="AL182" s="1500">
        <f t="shared" si="159"/>
        <v>10383.531708439445</v>
      </c>
      <c r="AM182" s="1500">
        <f t="shared" si="160"/>
        <v>582.29614538519911</v>
      </c>
      <c r="AN182" s="1500">
        <f t="shared" si="161"/>
        <v>52423.665347216396</v>
      </c>
      <c r="AO182" s="1186">
        <f t="shared" si="162"/>
        <v>0</v>
      </c>
    </row>
    <row r="183" spans="1:41">
      <c r="A183" s="127">
        <f>'Input data'!A123</f>
        <v>2023</v>
      </c>
      <c r="B183" s="1553">
        <f>'Input data'!B123</f>
        <v>61.381</v>
      </c>
      <c r="C183" s="1552">
        <f>'Input data'!C123</f>
        <v>3140.61</v>
      </c>
      <c r="D183" s="1511">
        <f>'Input data'!E123</f>
        <v>44745286.877069645</v>
      </c>
      <c r="E183" s="1510">
        <f>'Input data'!J123*C183</f>
        <v>37748.152131027629</v>
      </c>
      <c r="F183" s="1511">
        <f>'Input data'!L123</f>
        <v>82493.439008097281</v>
      </c>
      <c r="G183" s="1511">
        <f t="shared" si="163"/>
        <v>49701.698334937471</v>
      </c>
      <c r="H183" s="1511">
        <f t="shared" si="135"/>
        <v>13949.775771849141</v>
      </c>
      <c r="I183" s="1513">
        <f t="shared" si="138"/>
        <v>44745.286877069644</v>
      </c>
      <c r="J183" s="1506">
        <f t="shared" si="139"/>
        <v>0.10603170487993842</v>
      </c>
      <c r="K183" s="1514">
        <f t="shared" si="164"/>
        <v>1990.4478328420287</v>
      </c>
      <c r="L183" s="1514">
        <f t="shared" si="140"/>
        <v>0</v>
      </c>
      <c r="M183" s="1513">
        <f t="shared" si="165"/>
        <v>1990.4478328420287</v>
      </c>
      <c r="N183" s="1456">
        <f>($N$147-$N$142)/($A$107-$A$102)+N182</f>
        <v>0.3</v>
      </c>
      <c r="O183" s="530">
        <f t="shared" si="141"/>
        <v>451.15020000000015</v>
      </c>
      <c r="P183" s="1483">
        <f t="shared" si="168"/>
        <v>2441.5980328420287</v>
      </c>
      <c r="Q183" s="1366">
        <f t="shared" si="142"/>
        <v>61209.876073944586</v>
      </c>
      <c r="R183" s="1366">
        <f t="shared" si="166"/>
        <v>11508.177739007115</v>
      </c>
      <c r="S183" s="576">
        <f t="shared" si="143"/>
        <v>0.54260800898692041</v>
      </c>
      <c r="T183" s="135" t="str">
        <f t="shared" si="144"/>
        <v>Yes</v>
      </c>
      <c r="U183" s="1091">
        <f t="shared" si="145"/>
        <v>0.54260800898692041</v>
      </c>
      <c r="V183" s="1496">
        <f t="shared" si="136"/>
        <v>70985.261269090173</v>
      </c>
      <c r="W183" s="1493">
        <f t="shared" si="137"/>
        <v>0.13950415787463422</v>
      </c>
      <c r="X183" s="527">
        <f t="shared" si="146"/>
        <v>49701.698334937471</v>
      </c>
      <c r="Y183" s="1511">
        <f t="shared" si="147"/>
        <v>7767.2209095358021</v>
      </c>
      <c r="Z183" s="1533">
        <f t="shared" si="148"/>
        <v>2156.9702057009367</v>
      </c>
      <c r="AA183" s="1533">
        <f t="shared" si="149"/>
        <v>0</v>
      </c>
      <c r="AB183" s="1533">
        <f t="shared" si="150"/>
        <v>11359.371818915957</v>
      </c>
      <c r="AC183" s="1533">
        <f t="shared" si="151"/>
        <v>70985.261269090173</v>
      </c>
      <c r="AD183" s="1489">
        <f t="shared" si="152"/>
        <v>0</v>
      </c>
      <c r="AE183" s="649">
        <f t="shared" si="153"/>
        <v>0.70016926677960378</v>
      </c>
      <c r="AF183" s="417">
        <f t="shared" si="154"/>
        <v>0.10942019189155201</v>
      </c>
      <c r="AG183" s="417">
        <f t="shared" si="155"/>
        <v>3.0386169849038337E-2</v>
      </c>
      <c r="AH183" s="417">
        <f t="shared" si="167"/>
        <v>0</v>
      </c>
      <c r="AI183" s="417">
        <f t="shared" si="156"/>
        <v>0.1600243714798058</v>
      </c>
      <c r="AJ183" s="525">
        <f t="shared" si="157"/>
        <v>1</v>
      </c>
      <c r="AK183" s="1499">
        <f t="shared" si="158"/>
        <v>40000.86782415201</v>
      </c>
      <c r="AL183" s="1500">
        <f t="shared" si="159"/>
        <v>9214.9174637270262</v>
      </c>
      <c r="AM183" s="1500">
        <f t="shared" si="160"/>
        <v>485.91304705842384</v>
      </c>
      <c r="AN183" s="1500">
        <f t="shared" si="161"/>
        <v>49701.698334937457</v>
      </c>
      <c r="AO183" s="1186">
        <f t="shared" si="162"/>
        <v>0</v>
      </c>
    </row>
    <row r="184" spans="1:41">
      <c r="A184" s="127">
        <f>'Input data'!A124</f>
        <v>2024</v>
      </c>
      <c r="B184" s="1553">
        <f>'Input data'!B124</f>
        <v>62.088000000000001</v>
      </c>
      <c r="C184" s="1552">
        <f>'Input data'!C124</f>
        <v>3201.77</v>
      </c>
      <c r="D184" s="1511">
        <f>'Input data'!E124</f>
        <v>43251251.992583826</v>
      </c>
      <c r="E184" s="1510">
        <f>'Input data'!J124*C184</f>
        <v>38483.256771315231</v>
      </c>
      <c r="F184" s="1511">
        <f>'Input data'!L124</f>
        <v>81734.508763899066</v>
      </c>
      <c r="G184" s="1511">
        <f t="shared" si="163"/>
        <v>47121.062615822855</v>
      </c>
      <c r="H184" s="1511">
        <f t="shared" si="135"/>
        <v>15550.139351350881</v>
      </c>
      <c r="I184" s="1513">
        <f t="shared" si="138"/>
        <v>43251.251992583828</v>
      </c>
      <c r="J184" s="1506">
        <f t="shared" si="139"/>
        <v>0.11609308492183117</v>
      </c>
      <c r="K184" s="1514">
        <f t="shared" si="164"/>
        <v>2359.1545189973449</v>
      </c>
      <c r="L184" s="1514">
        <f t="shared" si="140"/>
        <v>0</v>
      </c>
      <c r="M184" s="1513">
        <f t="shared" si="165"/>
        <v>2359.1545189973449</v>
      </c>
      <c r="N184" s="1456">
        <f>($N$147-$N$142)/($A$107-$A$102)+N183</f>
        <v>0.35</v>
      </c>
      <c r="O184" s="530">
        <f t="shared" si="141"/>
        <v>526.34190000000012</v>
      </c>
      <c r="P184" s="1483">
        <f t="shared" si="168"/>
        <v>2885.4964189973452</v>
      </c>
      <c r="Q184" s="1366">
        <f t="shared" si="142"/>
        <v>59785.705548176389</v>
      </c>
      <c r="R184" s="1366">
        <f t="shared" si="166"/>
        <v>12664.642932353534</v>
      </c>
      <c r="S184" s="576">
        <f t="shared" si="143"/>
        <v>0.58753309331092052</v>
      </c>
      <c r="T184" s="135" t="str">
        <f t="shared" si="144"/>
        <v>Yes</v>
      </c>
      <c r="U184" s="1091">
        <f t="shared" si="145"/>
        <v>0.58753309331092052</v>
      </c>
      <c r="V184" s="1496">
        <f t="shared" si="136"/>
        <v>69069.865831545525</v>
      </c>
      <c r="W184" s="1493">
        <f t="shared" si="137"/>
        <v>0.15494854161217309</v>
      </c>
      <c r="X184" s="527">
        <f t="shared" si="146"/>
        <v>47121.062615822855</v>
      </c>
      <c r="Y184" s="1511">
        <f t="shared" si="147"/>
        <v>8102.8389403549436</v>
      </c>
      <c r="Z184" s="1533">
        <f t="shared" si="148"/>
        <v>2265.3809146032418</v>
      </c>
      <c r="AA184" s="1533">
        <f t="shared" si="149"/>
        <v>0</v>
      </c>
      <c r="AB184" s="1533">
        <f t="shared" si="150"/>
        <v>11580.583360764484</v>
      </c>
      <c r="AC184" s="1533">
        <f t="shared" si="151"/>
        <v>69069.865831545525</v>
      </c>
      <c r="AD184" s="1489">
        <f t="shared" si="152"/>
        <v>0</v>
      </c>
      <c r="AE184" s="649">
        <f t="shared" si="153"/>
        <v>0.68222316705734454</v>
      </c>
      <c r="AF184" s="417">
        <f t="shared" si="154"/>
        <v>0.11731366266320764</v>
      </c>
      <c r="AG184" s="417">
        <f t="shared" si="155"/>
        <v>3.2798397496938511E-2</v>
      </c>
      <c r="AH184" s="417">
        <f t="shared" si="167"/>
        <v>0</v>
      </c>
      <c r="AI184" s="417">
        <f t="shared" si="156"/>
        <v>0.1676647727825093</v>
      </c>
      <c r="AJ184" s="525">
        <f t="shared" si="157"/>
        <v>1</v>
      </c>
      <c r="AK184" s="1499">
        <f t="shared" si="158"/>
        <v>38230.080722033272</v>
      </c>
      <c r="AL184" s="1500">
        <f t="shared" si="159"/>
        <v>8471.6523509386643</v>
      </c>
      <c r="AM184" s="1500">
        <f t="shared" si="160"/>
        <v>419.32954285091336</v>
      </c>
      <c r="AN184" s="1500">
        <f t="shared" si="161"/>
        <v>47121.062615822855</v>
      </c>
      <c r="AO184" s="1186">
        <f t="shared" si="162"/>
        <v>0</v>
      </c>
    </row>
    <row r="185" spans="1:41">
      <c r="A185" s="127">
        <f>'Input data'!A125</f>
        <v>2025</v>
      </c>
      <c r="B185" s="1553">
        <f>'Input data'!B125</f>
        <v>62.802999999999997</v>
      </c>
      <c r="C185" s="1552">
        <f>'Input data'!C125</f>
        <v>3265.54</v>
      </c>
      <c r="D185" s="1511">
        <f>'Input data'!E125</f>
        <v>40955103.194912732</v>
      </c>
      <c r="E185" s="1510">
        <f>'Input data'!J125*C185</f>
        <v>39249.731966068997</v>
      </c>
      <c r="F185" s="1511">
        <f>'Input data'!L125</f>
        <v>80204.835160981718</v>
      </c>
      <c r="G185" s="1511">
        <f t="shared" si="163"/>
        <v>44674.419917829786</v>
      </c>
      <c r="H185" s="1511">
        <f t="shared" si="135"/>
        <v>16281.764941500929</v>
      </c>
      <c r="I185" s="1513">
        <f t="shared" si="138"/>
        <v>40955.103194912728</v>
      </c>
      <c r="J185" s="1506">
        <f t="shared" si="139"/>
        <v>0.12710919231119061</v>
      </c>
      <c r="K185" s="1514">
        <f t="shared" si="164"/>
        <v>2685.0761025482766</v>
      </c>
      <c r="L185" s="1514">
        <f t="shared" si="140"/>
        <v>0</v>
      </c>
      <c r="M185" s="1513">
        <f t="shared" si="165"/>
        <v>2685.0761025482766</v>
      </c>
      <c r="N185" s="1456">
        <f>($N$147-$N$142)/($A$107-$A$102)+N184</f>
        <v>0.39999999999999997</v>
      </c>
      <c r="O185" s="530">
        <f t="shared" si="141"/>
        <v>601.53360000000009</v>
      </c>
      <c r="P185" s="1483">
        <f t="shared" si="168"/>
        <v>3286.6097025482768</v>
      </c>
      <c r="Q185" s="1366">
        <f t="shared" si="142"/>
        <v>57669.575156782441</v>
      </c>
      <c r="R185" s="1366">
        <f t="shared" si="166"/>
        <v>12995.155238952655</v>
      </c>
      <c r="S185" s="576">
        <f t="shared" si="143"/>
        <v>0.59283812693823368</v>
      </c>
      <c r="T185" s="135" t="str">
        <f t="shared" si="144"/>
        <v>Yes</v>
      </c>
      <c r="U185" s="1091">
        <f t="shared" si="145"/>
        <v>0.59283812693823368</v>
      </c>
      <c r="V185" s="1496">
        <f t="shared" si="136"/>
        <v>67209.679922029085</v>
      </c>
      <c r="W185" s="1493">
        <f t="shared" si="137"/>
        <v>0.16202458633409866</v>
      </c>
      <c r="X185" s="527">
        <f t="shared" si="146"/>
        <v>44674.419917829786</v>
      </c>
      <c r="Y185" s="1511">
        <f t="shared" si="147"/>
        <v>8348.8156668076826</v>
      </c>
      <c r="Z185" s="1533">
        <f t="shared" si="148"/>
        <v>2375.2092430810053</v>
      </c>
      <c r="AA185" s="1533">
        <f t="shared" si="149"/>
        <v>0</v>
      </c>
      <c r="AB185" s="1533">
        <f t="shared" si="150"/>
        <v>11811.235094310599</v>
      </c>
      <c r="AC185" s="1533">
        <f t="shared" si="151"/>
        <v>67209.679922029085</v>
      </c>
      <c r="AD185" s="1489">
        <f t="shared" si="152"/>
        <v>0</v>
      </c>
      <c r="AE185" s="649">
        <f t="shared" si="153"/>
        <v>0.66470216745054023</v>
      </c>
      <c r="AF185" s="417">
        <f t="shared" si="154"/>
        <v>0.12422043486136615</v>
      </c>
      <c r="AG185" s="417">
        <f t="shared" si="155"/>
        <v>3.5340284998180614E-2</v>
      </c>
      <c r="AH185" s="417">
        <f t="shared" si="167"/>
        <v>0</v>
      </c>
      <c r="AI185" s="417">
        <f t="shared" si="156"/>
        <v>0.17573711268991288</v>
      </c>
      <c r="AJ185" s="525">
        <f t="shared" si="157"/>
        <v>0.99999999999999989</v>
      </c>
      <c r="AK185" s="1499">
        <f t="shared" si="158"/>
        <v>35749.333106785904</v>
      </c>
      <c r="AL185" s="1500">
        <f t="shared" si="159"/>
        <v>8529.2529846417583</v>
      </c>
      <c r="AM185" s="1500">
        <f t="shared" si="160"/>
        <v>395.8338264021213</v>
      </c>
      <c r="AN185" s="1500">
        <f t="shared" si="161"/>
        <v>44674.419917829786</v>
      </c>
      <c r="AO185" s="1186">
        <f t="shared" si="162"/>
        <v>0</v>
      </c>
    </row>
    <row r="186" spans="1:41">
      <c r="A186" s="127">
        <f>'Input data'!A126</f>
        <v>2026</v>
      </c>
      <c r="B186" s="1553">
        <f>'Input data'!B126</f>
        <v>63.420999999999999</v>
      </c>
      <c r="C186" s="1552">
        <f>'Input data'!C126</f>
        <v>3341.28</v>
      </c>
      <c r="D186" s="1511">
        <f>'Input data'!E126</f>
        <v>39969673.998818383</v>
      </c>
      <c r="E186" s="1510">
        <f>'Input data'!J126*C186</f>
        <v>40160.079014064147</v>
      </c>
      <c r="F186" s="1511">
        <f>'Input data'!L126</f>
        <v>80129.753012882531</v>
      </c>
      <c r="G186" s="1511">
        <f t="shared" si="163"/>
        <v>42354.812990240433</v>
      </c>
      <c r="H186" s="1511">
        <f t="shared" si="135"/>
        <v>18198.957229134634</v>
      </c>
      <c r="I186" s="1513">
        <f t="shared" si="138"/>
        <v>39969.673998818384</v>
      </c>
      <c r="J186" s="1506">
        <f t="shared" si="139"/>
        <v>0.13917062141024203</v>
      </c>
      <c r="K186" s="1514">
        <f t="shared" si="164"/>
        <v>3102.5613209670646</v>
      </c>
      <c r="L186" s="1514">
        <f t="shared" si="140"/>
        <v>0</v>
      </c>
      <c r="M186" s="1513">
        <f t="shared" si="165"/>
        <v>3102.5613209670646</v>
      </c>
      <c r="N186" s="1456">
        <f>($N$147-$N$142)/($A$107-$A$102)+N185</f>
        <v>0.44999999999999996</v>
      </c>
      <c r="O186" s="530">
        <f t="shared" si="141"/>
        <v>676.72530000000006</v>
      </c>
      <c r="P186" s="1483">
        <f t="shared" si="168"/>
        <v>3779.2866209670647</v>
      </c>
      <c r="Q186" s="1366">
        <f t="shared" si="142"/>
        <v>56774.483598407998</v>
      </c>
      <c r="R186" s="1366">
        <f t="shared" si="166"/>
        <v>14419.670608167566</v>
      </c>
      <c r="S186" s="576">
        <f t="shared" si="143"/>
        <v>0.64467312265397958</v>
      </c>
      <c r="T186" s="135" t="str">
        <f t="shared" si="144"/>
        <v>Yes</v>
      </c>
      <c r="U186" s="1091">
        <f t="shared" si="145"/>
        <v>0.64467312265397958</v>
      </c>
      <c r="V186" s="1496">
        <f t="shared" si="136"/>
        <v>65710.082404714965</v>
      </c>
      <c r="W186" s="1493">
        <f t="shared" si="137"/>
        <v>0.17995401291015212</v>
      </c>
      <c r="X186" s="527">
        <f t="shared" si="146"/>
        <v>42354.812990240433</v>
      </c>
      <c r="Y186" s="1511">
        <f t="shared" si="147"/>
        <v>8778.5488461171335</v>
      </c>
      <c r="Z186" s="1533">
        <f t="shared" si="148"/>
        <v>2491.5390682324214</v>
      </c>
      <c r="AA186" s="1533">
        <f t="shared" si="149"/>
        <v>0</v>
      </c>
      <c r="AB186" s="1533">
        <f t="shared" si="150"/>
        <v>12085.18150012498</v>
      </c>
      <c r="AC186" s="1533">
        <f t="shared" si="151"/>
        <v>65710.082404714965</v>
      </c>
      <c r="AD186" s="1489">
        <f t="shared" si="152"/>
        <v>0</v>
      </c>
      <c r="AE186" s="1456">
        <f t="shared" si="153"/>
        <v>0.64457099185134037</v>
      </c>
      <c r="AF186" s="1506">
        <f t="shared" si="154"/>
        <v>0.13359515807709954</v>
      </c>
      <c r="AG186" s="1506">
        <f t="shared" si="155"/>
        <v>3.7917150261458865E-2</v>
      </c>
      <c r="AH186" s="1506">
        <f t="shared" si="167"/>
        <v>0</v>
      </c>
      <c r="AI186" s="1506">
        <f t="shared" si="156"/>
        <v>0.18391669981010128</v>
      </c>
      <c r="AJ186" s="1543">
        <f t="shared" si="157"/>
        <v>1</v>
      </c>
      <c r="AK186" s="1557">
        <f t="shared" si="158"/>
        <v>34407.069630838036</v>
      </c>
      <c r="AL186" s="1558">
        <f t="shared" si="159"/>
        <v>7616.050500696083</v>
      </c>
      <c r="AM186" s="1558">
        <f t="shared" si="160"/>
        <v>331.69285870631273</v>
      </c>
      <c r="AN186" s="1500">
        <f t="shared" si="161"/>
        <v>42354.812990240433</v>
      </c>
      <c r="AO186" s="1186">
        <f t="shared" si="162"/>
        <v>0</v>
      </c>
    </row>
    <row r="187" spans="1:41">
      <c r="A187" s="127">
        <f>'Input data'!A127</f>
        <v>2027</v>
      </c>
      <c r="B187" s="1553">
        <f>'Input data'!B127</f>
        <v>64.046000000000006</v>
      </c>
      <c r="C187" s="1552">
        <f>'Input data'!C127</f>
        <v>3416.2799999999997</v>
      </c>
      <c r="D187" s="1511">
        <f>'Input data'!E127</f>
        <v>38984244.802724026</v>
      </c>
      <c r="E187" s="1510">
        <f>'Input data'!J127*C187</f>
        <v>41061.531728609109</v>
      </c>
      <c r="F187" s="1511">
        <f>'Input data'!L127</f>
        <v>80045.776531333133</v>
      </c>
      <c r="G187" s="1511">
        <f t="shared" si="163"/>
        <v>40155.6458200876</v>
      </c>
      <c r="H187" s="1511">
        <f t="shared" si="135"/>
        <v>19990.606127472747</v>
      </c>
      <c r="I187" s="1513">
        <f t="shared" si="138"/>
        <v>38984.244802724024</v>
      </c>
      <c r="J187" s="1506">
        <f t="shared" si="139"/>
        <v>0.15237656310721223</v>
      </c>
      <c r="K187" s="1514">
        <f t="shared" si="164"/>
        <v>3540.893129921265</v>
      </c>
      <c r="L187" s="1514">
        <f t="shared" si="140"/>
        <v>0</v>
      </c>
      <c r="M187" s="1513">
        <f t="shared" si="165"/>
        <v>3540.893129921265</v>
      </c>
      <c r="N187" s="1456">
        <f>$C$27</f>
        <v>0.5</v>
      </c>
      <c r="O187" s="530">
        <f t="shared" si="141"/>
        <v>751.91700000000026</v>
      </c>
      <c r="P187" s="1483">
        <f t="shared" si="168"/>
        <v>4292.8101299212649</v>
      </c>
      <c r="Q187" s="1366">
        <f t="shared" si="142"/>
        <v>55853.441817639083</v>
      </c>
      <c r="R187" s="1366">
        <f t="shared" si="166"/>
        <v>15697.795997551482</v>
      </c>
      <c r="S187" s="576">
        <f t="shared" si="143"/>
        <v>0.68821360446667523</v>
      </c>
      <c r="T187" s="135" t="str">
        <f t="shared" si="144"/>
        <v>Yes</v>
      </c>
      <c r="U187" s="1091">
        <f t="shared" si="145"/>
        <v>0.68821360446667523</v>
      </c>
      <c r="V187" s="1496">
        <f t="shared" si="136"/>
        <v>64347.980533781658</v>
      </c>
      <c r="W187" s="1493">
        <f t="shared" si="137"/>
        <v>0.19611023439077668</v>
      </c>
      <c r="X187" s="527">
        <f t="shared" si="146"/>
        <v>40155.6458200876</v>
      </c>
      <c r="Y187" s="1511">
        <f t="shared" si="147"/>
        <v>9228.4163742720357</v>
      </c>
      <c r="Z187" s="1533">
        <f t="shared" si="148"/>
        <v>2607.4669629294931</v>
      </c>
      <c r="AA187" s="1533">
        <f t="shared" si="149"/>
        <v>0</v>
      </c>
      <c r="AB187" s="1533">
        <f>E187*$E$12</f>
        <v>12356.45137649253</v>
      </c>
      <c r="AC187" s="1533">
        <f t="shared" si="151"/>
        <v>64347.980533781658</v>
      </c>
      <c r="AD187" s="1489">
        <f t="shared" si="152"/>
        <v>0</v>
      </c>
      <c r="AE187" s="1456">
        <f t="shared" si="153"/>
        <v>0.62403894398840587</v>
      </c>
      <c r="AF187" s="1506">
        <f t="shared" si="154"/>
        <v>0.14341423456836017</v>
      </c>
      <c r="AG187" s="1506">
        <f t="shared" si="155"/>
        <v>4.0521348786705352E-2</v>
      </c>
      <c r="AH187" s="1506">
        <f t="shared" si="167"/>
        <v>0</v>
      </c>
      <c r="AI187" s="1506">
        <f t="shared" si="156"/>
        <v>0.1920254726565287</v>
      </c>
      <c r="AJ187" s="1543">
        <f t="shared" si="157"/>
        <v>1</v>
      </c>
      <c r="AK187" s="1557">
        <f t="shared" si="158"/>
        <v>33043.959564354736</v>
      </c>
      <c r="AL187" s="1558">
        <f t="shared" si="159"/>
        <v>6832.8125172216696</v>
      </c>
      <c r="AM187" s="1558">
        <f t="shared" si="160"/>
        <v>278.87373851119378</v>
      </c>
      <c r="AN187" s="1500">
        <f t="shared" si="161"/>
        <v>40155.6458200876</v>
      </c>
      <c r="AO187" s="1186">
        <f t="shared" si="162"/>
        <v>0</v>
      </c>
    </row>
    <row r="188" spans="1:41">
      <c r="A188" s="127">
        <f>'Input data'!A128</f>
        <v>2028</v>
      </c>
      <c r="B188" s="1553">
        <f>'Input data'!B128</f>
        <v>64.676000000000002</v>
      </c>
      <c r="C188" s="1552">
        <f>'Input data'!C128</f>
        <v>3494.8800000000006</v>
      </c>
      <c r="D188" s="1511">
        <f>'Input data'!E128</f>
        <v>37998815.60662967</v>
      </c>
      <c r="E188" s="1510">
        <f>'Input data'!J128*C188</f>
        <v>42006.254173452246</v>
      </c>
      <c r="F188" s="1511">
        <f>'Input data'!L128</f>
        <v>80005.069780081918</v>
      </c>
      <c r="G188" s="1511">
        <f t="shared" si="163"/>
        <v>38070.664875792791</v>
      </c>
      <c r="H188" s="1511">
        <f t="shared" si="135"/>
        <v>21692.897279267141</v>
      </c>
      <c r="I188" s="1513">
        <f t="shared" si="138"/>
        <v>37998.815606629672</v>
      </c>
      <c r="J188" s="1506">
        <f t="shared" si="139"/>
        <v>0.16683562054324133</v>
      </c>
      <c r="K188" s="1514">
        <f t="shared" si="164"/>
        <v>4000.814811757502</v>
      </c>
      <c r="L188" s="1514">
        <f t="shared" si="140"/>
        <v>0</v>
      </c>
      <c r="M188" s="1513">
        <f t="shared" si="165"/>
        <v>4000.814811757502</v>
      </c>
      <c r="N188" s="1456">
        <f>N187</f>
        <v>0.5</v>
      </c>
      <c r="O188" s="530">
        <f t="shared" si="141"/>
        <v>751.91700000000026</v>
      </c>
      <c r="P188" s="1483">
        <f t="shared" si="168"/>
        <v>4752.7318117575023</v>
      </c>
      <c r="Q188" s="1366">
        <f t="shared" si="142"/>
        <v>55010.830343302427</v>
      </c>
      <c r="R188" s="1366">
        <f t="shared" si="166"/>
        <v>16940.165467509636</v>
      </c>
      <c r="S188" s="576">
        <f t="shared" si="143"/>
        <v>0.72544008588786868</v>
      </c>
      <c r="T188" s="135" t="str">
        <f t="shared" si="144"/>
        <v>Yes</v>
      </c>
      <c r="U188" s="1091">
        <f t="shared" si="145"/>
        <v>0.72544008588786868</v>
      </c>
      <c r="V188" s="1496">
        <f t="shared" si="136"/>
        <v>63064.904312572282</v>
      </c>
      <c r="W188" s="1493">
        <f t="shared" si="137"/>
        <v>0.21173864998899183</v>
      </c>
      <c r="X188" s="527">
        <f t="shared" si="146"/>
        <v>38070.664875792791</v>
      </c>
      <c r="Y188" s="1511">
        <f t="shared" si="147"/>
        <v>9703.3387348817432</v>
      </c>
      <c r="Z188" s="1533">
        <f t="shared" si="148"/>
        <v>2650.1584949720245</v>
      </c>
      <c r="AA188" s="1533">
        <f t="shared" si="149"/>
        <v>0</v>
      </c>
      <c r="AB188" s="1533">
        <f t="shared" si="150"/>
        <v>12640.742206925726</v>
      </c>
      <c r="AC188" s="1533">
        <f t="shared" si="151"/>
        <v>63064.904312572282</v>
      </c>
      <c r="AD188" s="1489">
        <f t="shared" si="152"/>
        <v>0</v>
      </c>
      <c r="AE188" s="1456">
        <f t="shared" si="153"/>
        <v>0.60367434614823046</v>
      </c>
      <c r="AF188" s="1506">
        <f t="shared" si="154"/>
        <v>0.15386273618665172</v>
      </c>
      <c r="AG188" s="1506">
        <f t="shared" si="155"/>
        <v>4.2022714913462621E-2</v>
      </c>
      <c r="AH188" s="1506">
        <f t="shared" si="167"/>
        <v>0</v>
      </c>
      <c r="AI188" s="1506">
        <f t="shared" si="156"/>
        <v>0.20044020275165525</v>
      </c>
      <c r="AJ188" s="1543">
        <f t="shared" si="157"/>
        <v>1</v>
      </c>
      <c r="AK188" s="1557">
        <f t="shared" si="158"/>
        <v>31659.259624989405</v>
      </c>
      <c r="AL188" s="1558">
        <f t="shared" si="159"/>
        <v>6155.4283926418257</v>
      </c>
      <c r="AM188" s="1558">
        <f t="shared" si="160"/>
        <v>255.97685816155689</v>
      </c>
      <c r="AN188" s="1500">
        <f t="shared" si="161"/>
        <v>38070.664875792791</v>
      </c>
      <c r="AO188" s="1186">
        <f t="shared" si="162"/>
        <v>0</v>
      </c>
    </row>
    <row r="189" spans="1:41">
      <c r="A189" s="127">
        <f>'Input data'!A129</f>
        <v>2029</v>
      </c>
      <c r="B189" s="1553">
        <f>'Input data'!B129</f>
        <v>65.313000000000002</v>
      </c>
      <c r="C189" s="1552">
        <f>'Input data'!C129</f>
        <v>3576.08</v>
      </c>
      <c r="D189" s="1511">
        <f>'Input data'!E129</f>
        <v>37013386.410535313</v>
      </c>
      <c r="E189" s="1510">
        <f>'Input data'!J129*C189</f>
        <v>42982.226979066254</v>
      </c>
      <c r="F189" s="1511">
        <f>'Input data'!L129</f>
        <v>79995.613389601567</v>
      </c>
      <c r="G189" s="1511">
        <f t="shared" si="163"/>
        <v>36093.941324681233</v>
      </c>
      <c r="H189" s="1511">
        <f t="shared" si="135"/>
        <v>23304.862717383032</v>
      </c>
      <c r="I189" s="1513">
        <f t="shared" si="138"/>
        <v>37013.386410535313</v>
      </c>
      <c r="J189" s="1506">
        <f>$J$137*(1+((($J$150/$J$137)^(1/($A$150-$A$137)))-1))^(A189-$A$137)</f>
        <v>0.18266670224386344</v>
      </c>
      <c r="K189" s="1514">
        <f t="shared" si="164"/>
        <v>4483.0230031728133</v>
      </c>
      <c r="L189" s="1514">
        <f t="shared" si="140"/>
        <v>0</v>
      </c>
      <c r="M189" s="1513">
        <f t="shared" si="165"/>
        <v>4483.0230031728133</v>
      </c>
      <c r="N189" s="1456">
        <f t="shared" ref="N189:N210" si="169">N188</f>
        <v>0.5</v>
      </c>
      <c r="O189" s="530">
        <f t="shared" si="141"/>
        <v>751.91700000000026</v>
      </c>
      <c r="P189" s="1483">
        <f t="shared" si="168"/>
        <v>5234.9400031728137</v>
      </c>
      <c r="Q189" s="1366">
        <f t="shared" si="142"/>
        <v>54163.86403889145</v>
      </c>
      <c r="R189" s="1366">
        <f t="shared" si="166"/>
        <v>18069.922714210217</v>
      </c>
      <c r="S189" s="576">
        <f t="shared" si="143"/>
        <v>0.75569721888672192</v>
      </c>
      <c r="T189" s="135" t="str">
        <f t="shared" si="144"/>
        <v>Yes</v>
      </c>
      <c r="U189" s="1091">
        <f t="shared" si="145"/>
        <v>0.75569721888672192</v>
      </c>
      <c r="V189" s="1496">
        <f t="shared" si="136"/>
        <v>61925.69067539135</v>
      </c>
      <c r="W189" s="1493">
        <f t="shared" si="137"/>
        <v>0.22588641987410629</v>
      </c>
      <c r="X189" s="527">
        <f t="shared" si="146"/>
        <v>36093.941324681233</v>
      </c>
      <c r="Y189" s="1511">
        <f t="shared" si="147"/>
        <v>10203.050075873076</v>
      </c>
      <c r="Z189" s="1533">
        <f t="shared" si="148"/>
        <v>2694.2622150973871</v>
      </c>
      <c r="AA189" s="1533">
        <f t="shared" si="149"/>
        <v>0</v>
      </c>
      <c r="AB189" s="1533">
        <f t="shared" si="150"/>
        <v>12934.437059739659</v>
      </c>
      <c r="AC189" s="1533">
        <f t="shared" si="151"/>
        <v>61925.69067539135</v>
      </c>
      <c r="AD189" s="1489">
        <f t="shared" si="152"/>
        <v>0</v>
      </c>
      <c r="AE189" s="1456">
        <f t="shared" si="153"/>
        <v>0.58285892221828062</v>
      </c>
      <c r="AF189" s="1506">
        <f t="shared" si="154"/>
        <v>0.16476279819560682</v>
      </c>
      <c r="AG189" s="1506">
        <f t="shared" si="155"/>
        <v>4.3507988134043697E-2</v>
      </c>
      <c r="AH189" s="1506">
        <f t="shared" si="167"/>
        <v>0</v>
      </c>
      <c r="AI189" s="1506">
        <f t="shared" si="156"/>
        <v>0.20887029145206895</v>
      </c>
      <c r="AJ189" s="1543">
        <f t="shared" si="157"/>
        <v>1</v>
      </c>
      <c r="AK189" s="1557">
        <f t="shared" si="158"/>
        <v>30252.273176044997</v>
      </c>
      <c r="AL189" s="1558">
        <f t="shared" si="159"/>
        <v>5604.3406008193479</v>
      </c>
      <c r="AM189" s="1558">
        <f t="shared" si="160"/>
        <v>237.32754781688837</v>
      </c>
      <c r="AN189" s="1500">
        <f t="shared" si="161"/>
        <v>36093.941324681233</v>
      </c>
      <c r="AO189" s="1186">
        <f t="shared" si="162"/>
        <v>0</v>
      </c>
    </row>
    <row r="190" spans="1:41">
      <c r="A190" s="127">
        <f>'Input data'!A130</f>
        <v>2030</v>
      </c>
      <c r="B190" s="1553">
        <f>'Input data'!B130</f>
        <v>65.956000000000003</v>
      </c>
      <c r="C190" s="1552">
        <f>'Input data'!C130</f>
        <v>3660.12</v>
      </c>
      <c r="D190" s="1511">
        <f>'Input data'!E130</f>
        <v>36027957.214440949</v>
      </c>
      <c r="E190" s="1510">
        <f>'Input data'!J130*C190</f>
        <v>43992.334794137714</v>
      </c>
      <c r="F190" s="1511">
        <f>'Input data'!L130</f>
        <v>80020.292008578661</v>
      </c>
      <c r="G190" s="1511">
        <f>G177*(1-$C$4)</f>
        <v>34219.854173807704</v>
      </c>
      <c r="H190" s="1511">
        <f t="shared" si="135"/>
        <v>24833.77866671994</v>
      </c>
      <c r="I190" s="1513">
        <f t="shared" si="138"/>
        <v>36027.957214440947</v>
      </c>
      <c r="J190" s="1506">
        <v>0.2</v>
      </c>
      <c r="K190" s="1514">
        <f t="shared" si="164"/>
        <v>4988.1521501359475</v>
      </c>
      <c r="L190" s="1514">
        <f t="shared" si="140"/>
        <v>0</v>
      </c>
      <c r="M190" s="1513">
        <f t="shared" si="165"/>
        <v>4988.1521501359475</v>
      </c>
      <c r="N190" s="1456">
        <f t="shared" si="169"/>
        <v>0.5</v>
      </c>
      <c r="O190" s="530">
        <f t="shared" si="141"/>
        <v>751.91700000000026</v>
      </c>
      <c r="P190" s="1483">
        <f t="shared" si="168"/>
        <v>5740.0691501359479</v>
      </c>
      <c r="Q190" s="1366">
        <f t="shared" si="142"/>
        <v>53313.563690391697</v>
      </c>
      <c r="R190" s="1366">
        <f t="shared" si="166"/>
        <v>19093.709516583993</v>
      </c>
      <c r="S190" s="576">
        <f t="shared" si="143"/>
        <v>0.77961517357617172</v>
      </c>
      <c r="T190" s="135" t="str">
        <f t="shared" si="144"/>
        <v>Yes</v>
      </c>
      <c r="U190" s="1091">
        <f t="shared" si="145"/>
        <v>0.77961517357617172</v>
      </c>
      <c r="V190" s="1496">
        <f t="shared" si="136"/>
        <v>60926.582491994668</v>
      </c>
      <c r="W190" s="1493">
        <f t="shared" si="137"/>
        <v>0.2386108452908049</v>
      </c>
      <c r="X190" s="527">
        <f t="shared" si="146"/>
        <v>34219.854173807704</v>
      </c>
      <c r="Y190" s="1511">
        <f t="shared" si="147"/>
        <v>10728.415840519639</v>
      </c>
      <c r="Z190" s="1533">
        <f t="shared" si="148"/>
        <v>2739.9084791286127</v>
      </c>
      <c r="AA190" s="1533">
        <f t="shared" si="149"/>
        <v>0</v>
      </c>
      <c r="AB190" s="1533">
        <f t="shared" si="150"/>
        <v>13238.403998538715</v>
      </c>
      <c r="AC190" s="1533">
        <f t="shared" si="151"/>
        <v>60926.582491994668</v>
      </c>
      <c r="AD190" s="1489">
        <f t="shared" si="152"/>
        <v>0</v>
      </c>
      <c r="AE190" s="1456">
        <f t="shared" si="153"/>
        <v>0.56165720731675628</v>
      </c>
      <c r="AF190" s="1506">
        <f t="shared" si="154"/>
        <v>0.1760876025161805</v>
      </c>
      <c r="AG190" s="1506">
        <f t="shared" si="155"/>
        <v>4.4970657585933327E-2</v>
      </c>
      <c r="AH190" s="1506">
        <f t="shared" si="167"/>
        <v>0</v>
      </c>
      <c r="AI190" s="1506">
        <f t="shared" si="156"/>
        <v>0.21728453258112992</v>
      </c>
      <c r="AJ190" s="1543">
        <f t="shared" si="157"/>
        <v>1</v>
      </c>
      <c r="AK190" s="1557">
        <f t="shared" si="158"/>
        <v>28822.365771552759</v>
      </c>
      <c r="AL190" s="1558">
        <f t="shared" si="159"/>
        <v>5174.470304010003</v>
      </c>
      <c r="AM190" s="1558">
        <f t="shared" si="160"/>
        <v>223.01809824494129</v>
      </c>
      <c r="AN190" s="1500">
        <f t="shared" si="161"/>
        <v>34219.854173807704</v>
      </c>
      <c r="AO190" s="1186">
        <f t="shared" si="162"/>
        <v>0</v>
      </c>
    </row>
    <row r="191" spans="1:41">
      <c r="A191" s="127">
        <f>'Input data'!A131</f>
        <v>2031</v>
      </c>
      <c r="B191" s="1553">
        <f>'Input data'!B131</f>
        <v>66.519000000000005</v>
      </c>
      <c r="C191" s="1552">
        <f>'Input data'!C131</f>
        <v>3761.03</v>
      </c>
      <c r="D191" s="1511">
        <f>'Input data'!E131</f>
        <v>35846430.699385166</v>
      </c>
      <c r="E191" s="1510">
        <f>'Input data'!J131*C191</f>
        <v>45205.209373134152</v>
      </c>
      <c r="F191" s="1511">
        <f>'Input data'!L131</f>
        <v>81051.640072519309</v>
      </c>
      <c r="G191" s="1511">
        <f>$G$150*(1+((($G$160/$G$150)^(1/($A$160-$A$150)))-1))^(A191-$A$150)</f>
        <v>33020.827958397946</v>
      </c>
      <c r="H191" s="1511">
        <f t="shared" si="135"/>
        <v>26558.406982349843</v>
      </c>
      <c r="I191" s="1513">
        <f t="shared" si="138"/>
        <v>35846.430699385164</v>
      </c>
      <c r="J191" s="1506">
        <f t="shared" ref="J191:J210" si="170">J190</f>
        <v>0.2</v>
      </c>
      <c r="K191" s="1514">
        <f t="shared" si="164"/>
        <v>4963.0193936215364</v>
      </c>
      <c r="L191" s="1514">
        <f t="shared" si="140"/>
        <v>0</v>
      </c>
      <c r="M191" s="1513">
        <f t="shared" si="165"/>
        <v>4963.0193936215364</v>
      </c>
      <c r="N191" s="1456">
        <f t="shared" si="169"/>
        <v>0.5</v>
      </c>
      <c r="O191" s="530">
        <f t="shared" si="141"/>
        <v>751.91700000000026</v>
      </c>
      <c r="P191" s="1483">
        <f t="shared" si="168"/>
        <v>5714.9363936215368</v>
      </c>
      <c r="Q191" s="1366">
        <f t="shared" si="142"/>
        <v>53864.298547126251</v>
      </c>
      <c r="R191" s="1366">
        <f t="shared" si="166"/>
        <v>20843.470588728305</v>
      </c>
      <c r="S191" s="576">
        <f t="shared" si="143"/>
        <v>0.82754369941815786</v>
      </c>
      <c r="T191" s="135" t="str">
        <f t="shared" si="144"/>
        <v>Yes</v>
      </c>
      <c r="U191" s="1091">
        <f t="shared" si="145"/>
        <v>0.82754369941815786</v>
      </c>
      <c r="V191" s="1496">
        <f t="shared" si="136"/>
        <v>60208.169483791018</v>
      </c>
      <c r="W191" s="1493">
        <f t="shared" si="137"/>
        <v>0.25716284790880262</v>
      </c>
      <c r="X191" s="527">
        <f t="shared" si="146"/>
        <v>33020.827958397946</v>
      </c>
      <c r="Y191" s="1511">
        <f t="shared" si="147"/>
        <v>10789.23527931066</v>
      </c>
      <c r="Z191" s="1533">
        <f t="shared" si="148"/>
        <v>2794.7176712203664</v>
      </c>
      <c r="AA191" s="1533">
        <f t="shared" si="149"/>
        <v>0</v>
      </c>
      <c r="AB191" s="1533">
        <f t="shared" si="150"/>
        <v>13603.388574862045</v>
      </c>
      <c r="AC191" s="1533">
        <f t="shared" si="151"/>
        <v>60208.169483791018</v>
      </c>
      <c r="AD191" s="1489">
        <f t="shared" si="152"/>
        <v>0</v>
      </c>
      <c r="AE191" s="1456">
        <f t="shared" si="153"/>
        <v>0.54844430982555725</v>
      </c>
      <c r="AF191" s="1506">
        <f t="shared" si="154"/>
        <v>0.17919885908863731</v>
      </c>
      <c r="AG191" s="1506">
        <f t="shared" si="155"/>
        <v>4.641758245071291E-2</v>
      </c>
      <c r="AH191" s="1506">
        <f t="shared" si="167"/>
        <v>0</v>
      </c>
      <c r="AI191" s="1506">
        <f t="shared" si="156"/>
        <v>0.22593924863509246</v>
      </c>
      <c r="AJ191" s="1543">
        <f t="shared" si="157"/>
        <v>1</v>
      </c>
      <c r="AK191" s="1557">
        <f t="shared" si="158"/>
        <v>28677.144559508131</v>
      </c>
      <c r="AL191" s="1558">
        <f t="shared" si="159"/>
        <v>4160.7799498018485</v>
      </c>
      <c r="AM191" s="1558">
        <f t="shared" si="160"/>
        <v>182.90344908796462</v>
      </c>
      <c r="AN191" s="1500">
        <f t="shared" si="161"/>
        <v>33020.827958397946</v>
      </c>
      <c r="AO191" s="1186">
        <f t="shared" si="162"/>
        <v>0</v>
      </c>
    </row>
    <row r="192" spans="1:41">
      <c r="A192" s="127">
        <f>'Input data'!A132</f>
        <v>2032</v>
      </c>
      <c r="B192" s="1553">
        <f>'Input data'!B132</f>
        <v>67.087000000000003</v>
      </c>
      <c r="C192" s="1552">
        <f>'Input data'!C132</f>
        <v>3857.2</v>
      </c>
      <c r="D192" s="1511">
        <f>'Input data'!E132</f>
        <v>35664904.184329376</v>
      </c>
      <c r="E192" s="1510">
        <f>'Input data'!J132*C192</f>
        <v>46361.112140571342</v>
      </c>
      <c r="F192" s="1511">
        <f>'Input data'!L132</f>
        <v>82026.016324900716</v>
      </c>
      <c r="G192" s="1511">
        <f t="shared" ref="G192:G199" si="171">$G$150*(1+((($G$160/$G$150)^(1/($A$160-$A$150)))-1))^(A192-$A$150)</f>
        <v>31863.814308498775</v>
      </c>
      <c r="H192" s="1511">
        <f t="shared" si="135"/>
        <v>28208.331901371996</v>
      </c>
      <c r="I192" s="1513">
        <f t="shared" si="138"/>
        <v>35664.904184329374</v>
      </c>
      <c r="J192" s="1506">
        <f t="shared" si="170"/>
        <v>0.2</v>
      </c>
      <c r="K192" s="1514">
        <f t="shared" si="164"/>
        <v>4937.8866371071235</v>
      </c>
      <c r="L192" s="1514">
        <f t="shared" si="140"/>
        <v>0</v>
      </c>
      <c r="M192" s="1513">
        <f t="shared" si="165"/>
        <v>4937.8866371071235</v>
      </c>
      <c r="N192" s="1456">
        <f t="shared" si="169"/>
        <v>0.5</v>
      </c>
      <c r="O192" s="530">
        <f t="shared" si="141"/>
        <v>751.91700000000026</v>
      </c>
      <c r="P192" s="1483">
        <f t="shared" si="168"/>
        <v>5689.8036371071239</v>
      </c>
      <c r="Q192" s="1366">
        <f t="shared" si="142"/>
        <v>54382.34257276365</v>
      </c>
      <c r="R192" s="1366">
        <f t="shared" si="166"/>
        <v>22518.528264264874</v>
      </c>
      <c r="S192" s="576">
        <f t="shared" si="143"/>
        <v>0.87110882295578751</v>
      </c>
      <c r="T192" s="135" t="str">
        <f t="shared" si="144"/>
        <v>Yes</v>
      </c>
      <c r="U192" s="1091">
        <f t="shared" si="145"/>
        <v>0.87110882295578751</v>
      </c>
      <c r="V192" s="1496">
        <f t="shared" si="136"/>
        <v>59507.488060635857</v>
      </c>
      <c r="W192" s="1493">
        <f t="shared" si="137"/>
        <v>0.27452909787877733</v>
      </c>
      <c r="X192" s="527">
        <f t="shared" si="146"/>
        <v>31863.814308498775</v>
      </c>
      <c r="Y192" s="1511">
        <f t="shared" si="147"/>
        <v>10845.492521330872</v>
      </c>
      <c r="Z192" s="1533">
        <f t="shared" si="148"/>
        <v>2846.9523358072647</v>
      </c>
      <c r="AA192" s="1533">
        <f t="shared" si="149"/>
        <v>0</v>
      </c>
      <c r="AB192" s="1533">
        <f t="shared" si="150"/>
        <v>13951.228894998943</v>
      </c>
      <c r="AC192" s="1533">
        <f t="shared" si="151"/>
        <v>59507.488060635857</v>
      </c>
      <c r="AD192" s="1489">
        <f t="shared" si="152"/>
        <v>0</v>
      </c>
      <c r="AE192" s="1456">
        <f t="shared" si="153"/>
        <v>0.53545890352539782</v>
      </c>
      <c r="AF192" s="1506">
        <f t="shared" si="154"/>
        <v>0.1822542485792667</v>
      </c>
      <c r="AG192" s="1506">
        <f t="shared" si="155"/>
        <v>4.7841917523158244E-2</v>
      </c>
      <c r="AH192" s="1506">
        <f t="shared" si="167"/>
        <v>0</v>
      </c>
      <c r="AI192" s="1506">
        <f t="shared" si="156"/>
        <v>0.23444493037217726</v>
      </c>
      <c r="AJ192" s="1543">
        <f t="shared" si="157"/>
        <v>1</v>
      </c>
      <c r="AK192" s="1557">
        <f t="shared" si="158"/>
        <v>28531.9233474635</v>
      </c>
      <c r="AL192" s="1558">
        <f t="shared" si="159"/>
        <v>3189.2181902931839</v>
      </c>
      <c r="AM192" s="1558">
        <f t="shared" si="160"/>
        <v>142.67277074209056</v>
      </c>
      <c r="AN192" s="1500">
        <f t="shared" si="161"/>
        <v>31863.814308498775</v>
      </c>
      <c r="AO192" s="1186">
        <f t="shared" si="162"/>
        <v>0</v>
      </c>
    </row>
    <row r="193" spans="1:41">
      <c r="A193" s="127">
        <f>'Input data'!A133</f>
        <v>2033</v>
      </c>
      <c r="B193" s="1553">
        <f>'Input data'!B133</f>
        <v>67.659000000000006</v>
      </c>
      <c r="C193" s="1552">
        <f>'Input data'!C133</f>
        <v>3964.01</v>
      </c>
      <c r="D193" s="1511">
        <f>'Input data'!E133</f>
        <v>35483377.6692736</v>
      </c>
      <c r="E193" s="1510">
        <f>'Input data'!J133*C193</f>
        <v>47644.900999778656</v>
      </c>
      <c r="F193" s="1511">
        <f>'Input data'!L133</f>
        <v>83128.278669052263</v>
      </c>
      <c r="G193" s="1511">
        <f t="shared" si="171"/>
        <v>30747.341149823493</v>
      </c>
      <c r="H193" s="1511">
        <f t="shared" si="135"/>
        <v>29891.098279143625</v>
      </c>
      <c r="I193" s="1513">
        <f t="shared" si="138"/>
        <v>35483.377669273599</v>
      </c>
      <c r="J193" s="1506">
        <f t="shared" si="170"/>
        <v>0.2</v>
      </c>
      <c r="K193" s="1514">
        <f t="shared" si="164"/>
        <v>4912.7538805927124</v>
      </c>
      <c r="L193" s="1514">
        <f t="shared" si="140"/>
        <v>0</v>
      </c>
      <c r="M193" s="1513">
        <f t="shared" si="165"/>
        <v>4912.7538805927124</v>
      </c>
      <c r="N193" s="1456">
        <f t="shared" si="169"/>
        <v>0.5</v>
      </c>
      <c r="O193" s="530">
        <f t="shared" si="141"/>
        <v>751.91700000000026</v>
      </c>
      <c r="P193" s="1483">
        <f t="shared" si="168"/>
        <v>5664.6708805927128</v>
      </c>
      <c r="Q193" s="1366">
        <f t="shared" si="142"/>
        <v>54973.768548374406</v>
      </c>
      <c r="R193" s="1366">
        <f t="shared" si="166"/>
        <v>24226.427398550913</v>
      </c>
      <c r="S193" s="576">
        <f t="shared" si="143"/>
        <v>0.91121100095291807</v>
      </c>
      <c r="T193" s="135" t="str">
        <f t="shared" si="144"/>
        <v>Yes</v>
      </c>
      <c r="U193" s="1091">
        <f t="shared" si="145"/>
        <v>0.91121100095291807</v>
      </c>
      <c r="V193" s="1496">
        <f t="shared" si="136"/>
        <v>58901.851270501356</v>
      </c>
      <c r="W193" s="1493">
        <f t="shared" si="137"/>
        <v>0.29143424820572084</v>
      </c>
      <c r="X193" s="527">
        <f t="shared" si="146"/>
        <v>30747.341149823493</v>
      </c>
      <c r="Y193" s="1511">
        <f t="shared" si="147"/>
        <v>10911.990643866153</v>
      </c>
      <c r="Z193" s="1533">
        <f t="shared" si="148"/>
        <v>2904.9661085485213</v>
      </c>
      <c r="AA193" s="1533">
        <f t="shared" si="149"/>
        <v>0</v>
      </c>
      <c r="AB193" s="1533">
        <f t="shared" si="150"/>
        <v>14337.553368263189</v>
      </c>
      <c r="AC193" s="1533">
        <f t="shared" si="151"/>
        <v>58901.851270501356</v>
      </c>
      <c r="AD193" s="1489">
        <f t="shared" si="152"/>
        <v>0</v>
      </c>
      <c r="AE193" s="1456">
        <f t="shared" si="153"/>
        <v>0.52200975837956509</v>
      </c>
      <c r="AF193" s="1506">
        <f t="shared" si="154"/>
        <v>0.18525717627708907</v>
      </c>
      <c r="AG193" s="1506">
        <f t="shared" si="155"/>
        <v>4.9318757320677926E-2</v>
      </c>
      <c r="AH193" s="1506">
        <f t="shared" si="167"/>
        <v>0</v>
      </c>
      <c r="AI193" s="1506">
        <f t="shared" si="156"/>
        <v>0.24341430802266789</v>
      </c>
      <c r="AJ193" s="1543">
        <f t="shared" si="157"/>
        <v>1</v>
      </c>
      <c r="AK193" s="1557">
        <f t="shared" si="158"/>
        <v>28386.702135418884</v>
      </c>
      <c r="AL193" s="1558">
        <f t="shared" si="159"/>
        <v>2257.7860540620281</v>
      </c>
      <c r="AM193" s="1558">
        <f t="shared" si="160"/>
        <v>102.85296034258315</v>
      </c>
      <c r="AN193" s="1500">
        <f t="shared" si="161"/>
        <v>30747.341149823493</v>
      </c>
      <c r="AO193" s="1186">
        <f t="shared" si="162"/>
        <v>0</v>
      </c>
    </row>
    <row r="194" spans="1:41">
      <c r="A194" s="127">
        <f>'Input data'!A134</f>
        <v>2034</v>
      </c>
      <c r="B194" s="1553">
        <f>'Input data'!B134</f>
        <v>68.236999999999995</v>
      </c>
      <c r="C194" s="1552">
        <f>'Input data'!C134</f>
        <v>4078.22</v>
      </c>
      <c r="D194" s="1511">
        <f>'Input data'!E134</f>
        <v>35301851.154217809</v>
      </c>
      <c r="E194" s="1510">
        <f>'Input data'!J134*C194</f>
        <v>49017.633193487723</v>
      </c>
      <c r="F194" s="1511">
        <f>'Input data'!L134</f>
        <v>84319.484347705526</v>
      </c>
      <c r="G194" s="1511">
        <f t="shared" si="171"/>
        <v>29669.987987956312</v>
      </c>
      <c r="H194" s="1511">
        <f t="shared" si="135"/>
        <v>31585.78097869761</v>
      </c>
      <c r="I194" s="1513">
        <f t="shared" si="138"/>
        <v>35301.851154217809</v>
      </c>
      <c r="J194" s="1506">
        <f t="shared" si="170"/>
        <v>0.2</v>
      </c>
      <c r="K194" s="1514">
        <f t="shared" si="164"/>
        <v>4887.6211240782995</v>
      </c>
      <c r="L194" s="1514">
        <f t="shared" si="140"/>
        <v>0</v>
      </c>
      <c r="M194" s="1513">
        <f t="shared" si="165"/>
        <v>4887.6211240782995</v>
      </c>
      <c r="N194" s="1456">
        <f t="shared" si="169"/>
        <v>0.5</v>
      </c>
      <c r="O194" s="530">
        <f t="shared" si="141"/>
        <v>751.91700000000026</v>
      </c>
      <c r="P194" s="1483">
        <f t="shared" si="168"/>
        <v>5639.5381240782999</v>
      </c>
      <c r="Q194" s="1366">
        <f t="shared" si="142"/>
        <v>55616.23084257562</v>
      </c>
      <c r="R194" s="1366">
        <f t="shared" si="166"/>
        <v>25946.242854619308</v>
      </c>
      <c r="S194" s="576">
        <f t="shared" si="143"/>
        <v>0.94781661681665008</v>
      </c>
      <c r="T194" s="135" t="str">
        <f t="shared" si="144"/>
        <v>Yes</v>
      </c>
      <c r="U194" s="1091">
        <f t="shared" si="145"/>
        <v>0.94781661681665008</v>
      </c>
      <c r="V194" s="1496">
        <f t="shared" si="136"/>
        <v>58373.241493086229</v>
      </c>
      <c r="W194" s="1493">
        <f t="shared" si="137"/>
        <v>0.30771349060468178</v>
      </c>
      <c r="X194" s="527">
        <f t="shared" si="146"/>
        <v>29669.987987956312</v>
      </c>
      <c r="Y194" s="1511">
        <f t="shared" si="147"/>
        <v>10985.611183301004</v>
      </c>
      <c r="Z194" s="1533">
        <f t="shared" si="148"/>
        <v>2966.9991858332214</v>
      </c>
      <c r="AA194" s="1533">
        <f t="shared" si="149"/>
        <v>0</v>
      </c>
      <c r="AB194" s="1533">
        <f t="shared" si="150"/>
        <v>14750.643135995693</v>
      </c>
      <c r="AC194" s="1533">
        <f t="shared" si="151"/>
        <v>58373.241493086229</v>
      </c>
      <c r="AD194" s="1489">
        <f t="shared" si="152"/>
        <v>0</v>
      </c>
      <c r="AE194" s="1456">
        <f t="shared" si="153"/>
        <v>0.50828063045754357</v>
      </c>
      <c r="AF194" s="1506">
        <f t="shared" si="154"/>
        <v>0.1881960107458166</v>
      </c>
      <c r="AG194" s="1506">
        <f t="shared" si="155"/>
        <v>5.0828069676148363E-2</v>
      </c>
      <c r="AH194" s="1506">
        <f t="shared" si="167"/>
        <v>0</v>
      </c>
      <c r="AI194" s="1506">
        <f t="shared" si="156"/>
        <v>0.25269528912049144</v>
      </c>
      <c r="AJ194" s="1543">
        <f t="shared" si="157"/>
        <v>1</v>
      </c>
      <c r="AK194" s="1557">
        <f t="shared" si="158"/>
        <v>28241.480923374249</v>
      </c>
      <c r="AL194" s="1558">
        <f t="shared" si="159"/>
        <v>1365.1858145632605</v>
      </c>
      <c r="AM194" s="1558">
        <f t="shared" si="160"/>
        <v>63.321250018801862</v>
      </c>
      <c r="AN194" s="1500">
        <f t="shared" si="161"/>
        <v>29669.987987956312</v>
      </c>
      <c r="AO194" s="1186">
        <f t="shared" si="162"/>
        <v>0</v>
      </c>
    </row>
    <row r="195" spans="1:41">
      <c r="A195" s="127">
        <f>'Input data'!A135</f>
        <v>2035</v>
      </c>
      <c r="B195" s="1553">
        <f>'Input data'!B135</f>
        <v>68.819000000000003</v>
      </c>
      <c r="C195" s="1552">
        <f>'Input data'!C135</f>
        <v>4200.2899999999991</v>
      </c>
      <c r="D195" s="1511">
        <f>'Input data'!E135</f>
        <v>35120324.639162026</v>
      </c>
      <c r="E195" s="1510">
        <f>'Input data'!J135*C195</f>
        <v>50484.837631681105</v>
      </c>
      <c r="F195" s="1511">
        <f>'Input data'!L135</f>
        <v>85605.162270843139</v>
      </c>
      <c r="G195" s="1511">
        <f t="shared" si="171"/>
        <v>28630.384101050156</v>
      </c>
      <c r="H195" s="1511">
        <f t="shared" si="135"/>
        <v>33296.92324979345</v>
      </c>
      <c r="I195" s="1513">
        <f t="shared" si="138"/>
        <v>35120.324639162027</v>
      </c>
      <c r="J195" s="1506">
        <f t="shared" si="170"/>
        <v>0.2</v>
      </c>
      <c r="K195" s="1514">
        <f t="shared" si="164"/>
        <v>4862.4883675638885</v>
      </c>
      <c r="L195" s="1514">
        <f t="shared" si="140"/>
        <v>0</v>
      </c>
      <c r="M195" s="1513">
        <f t="shared" si="165"/>
        <v>4862.4883675638885</v>
      </c>
      <c r="N195" s="1456">
        <f t="shared" si="169"/>
        <v>0.5</v>
      </c>
      <c r="O195" s="530">
        <f t="shared" si="141"/>
        <v>751.91700000000026</v>
      </c>
      <c r="P195" s="1483">
        <f t="shared" si="168"/>
        <v>5614.4053675638888</v>
      </c>
      <c r="Q195" s="1366">
        <f t="shared" si="142"/>
        <v>56312.90198327972</v>
      </c>
      <c r="R195" s="1366">
        <f t="shared" si="166"/>
        <v>27682.517882229564</v>
      </c>
      <c r="S195" s="576">
        <f t="shared" si="143"/>
        <v>0.98107059002369312</v>
      </c>
      <c r="T195" s="135" t="str">
        <f t="shared" si="144"/>
        <v>Yes</v>
      </c>
      <c r="U195" s="1091">
        <f t="shared" si="145"/>
        <v>0.98107059002369312</v>
      </c>
      <c r="V195" s="1496">
        <f t="shared" si="136"/>
        <v>57922.644388613568</v>
      </c>
      <c r="W195" s="1493">
        <f t="shared" si="137"/>
        <v>0.3233743987850386</v>
      </c>
      <c r="X195" s="527">
        <f t="shared" si="146"/>
        <v>28630.384101050156</v>
      </c>
      <c r="Y195" s="1511">
        <f t="shared" si="147"/>
        <v>11066.796884469728</v>
      </c>
      <c r="Z195" s="1533">
        <f t="shared" si="148"/>
        <v>3033.3014163221746</v>
      </c>
      <c r="AA195" s="1533">
        <f t="shared" si="149"/>
        <v>0</v>
      </c>
      <c r="AB195" s="1533">
        <f t="shared" si="150"/>
        <v>15192.161986771516</v>
      </c>
      <c r="AC195" s="1533">
        <f t="shared" si="151"/>
        <v>57922.644388613568</v>
      </c>
      <c r="AD195" s="1489">
        <f t="shared" si="152"/>
        <v>0</v>
      </c>
      <c r="AE195" s="1456">
        <f t="shared" si="153"/>
        <v>0.49428655067893129</v>
      </c>
      <c r="AF195" s="1506">
        <f t="shared" si="154"/>
        <v>0.19106166511011777</v>
      </c>
      <c r="AG195" s="1506">
        <f t="shared" si="155"/>
        <v>5.2368144589035041E-2</v>
      </c>
      <c r="AH195" s="1506">
        <f t="shared" si="167"/>
        <v>0</v>
      </c>
      <c r="AI195" s="1506">
        <f t="shared" si="156"/>
        <v>0.26228363962191603</v>
      </c>
      <c r="AJ195" s="1543">
        <f t="shared" si="157"/>
        <v>1</v>
      </c>
      <c r="AK195" s="1557">
        <f t="shared" si="158"/>
        <v>28096.259711329618</v>
      </c>
      <c r="AL195" s="1558">
        <f t="shared" si="159"/>
        <v>510.04117598678846</v>
      </c>
      <c r="AM195" s="1558">
        <f t="shared" si="160"/>
        <v>24.083213733745904</v>
      </c>
      <c r="AN195" s="1500">
        <f t="shared" si="161"/>
        <v>28630.384101050153</v>
      </c>
      <c r="AO195" s="1186">
        <f t="shared" si="162"/>
        <v>0</v>
      </c>
    </row>
    <row r="196" spans="1:41">
      <c r="A196" s="127">
        <f>'Input data'!A136</f>
        <v>2036</v>
      </c>
      <c r="B196" s="1553">
        <f>'Input data'!B136</f>
        <v>69.322999999999993</v>
      </c>
      <c r="C196" s="1552">
        <f>'Input data'!C136</f>
        <v>4325.9699999999993</v>
      </c>
      <c r="D196" s="1511">
        <f>'Input data'!E136</f>
        <v>32285395.803631678</v>
      </c>
      <c r="E196" s="1510">
        <f>'Input data'!J136*C196</f>
        <v>51995.431993867933</v>
      </c>
      <c r="F196" s="1511">
        <f>'Input data'!L136</f>
        <v>84280.827797499616</v>
      </c>
      <c r="G196" s="1511">
        <f t="shared" si="171"/>
        <v>27627.206795850379</v>
      </c>
      <c r="H196" s="1511">
        <f t="shared" si="135"/>
        <v>32506.444978429117</v>
      </c>
      <c r="I196" s="1513">
        <f t="shared" si="138"/>
        <v>32285.39580363168</v>
      </c>
      <c r="J196" s="1506">
        <f t="shared" si="170"/>
        <v>0.2</v>
      </c>
      <c r="K196" s="1514">
        <f t="shared" si="164"/>
        <v>4469.9860593629401</v>
      </c>
      <c r="L196" s="1514">
        <f t="shared" si="140"/>
        <v>0</v>
      </c>
      <c r="M196" s="1513">
        <f t="shared" si="165"/>
        <v>4469.9860593629401</v>
      </c>
      <c r="N196" s="1456">
        <f t="shared" si="169"/>
        <v>0.5</v>
      </c>
      <c r="O196" s="530">
        <f t="shared" si="141"/>
        <v>751.91700000000026</v>
      </c>
      <c r="P196" s="1483">
        <f t="shared" si="168"/>
        <v>5221.9030593629404</v>
      </c>
      <c r="Q196" s="1366">
        <f t="shared" si="142"/>
        <v>54911.748714916554</v>
      </c>
      <c r="R196" s="1366">
        <f t="shared" si="166"/>
        <v>27284.541919066174</v>
      </c>
      <c r="S196" s="576">
        <f t="shared" si="143"/>
        <v>0.93814725344344019</v>
      </c>
      <c r="T196" s="135" t="str">
        <f t="shared" si="144"/>
        <v>Yes</v>
      </c>
      <c r="U196" s="1091">
        <f t="shared" si="145"/>
        <v>0.93814725344344019</v>
      </c>
      <c r="V196" s="1496">
        <f t="shared" si="136"/>
        <v>56996.285878433438</v>
      </c>
      <c r="W196" s="1493">
        <f t="shared" si="137"/>
        <v>0.32373367267609632</v>
      </c>
      <c r="X196" s="527">
        <f t="shared" si="146"/>
        <v>27627.206795850379</v>
      </c>
      <c r="Y196" s="1511">
        <f t="shared" si="147"/>
        <v>10620.77670600401</v>
      </c>
      <c r="Z196" s="1533">
        <f t="shared" si="148"/>
        <v>3101.5644156492149</v>
      </c>
      <c r="AA196" s="1533">
        <f t="shared" si="149"/>
        <v>0</v>
      </c>
      <c r="AB196" s="1533">
        <f t="shared" si="150"/>
        <v>15646.737960929839</v>
      </c>
      <c r="AC196" s="1533">
        <f t="shared" si="151"/>
        <v>56996.285878433438</v>
      </c>
      <c r="AD196" s="1489">
        <f t="shared" si="152"/>
        <v>0</v>
      </c>
      <c r="AE196" s="1456">
        <f t="shared" si="153"/>
        <v>0.4847194228546059</v>
      </c>
      <c r="AF196" s="1506">
        <f t="shared" si="154"/>
        <v>0.18634155791584231</v>
      </c>
      <c r="AG196" s="1506">
        <f t="shared" si="155"/>
        <v>5.4416956611251781E-2</v>
      </c>
      <c r="AH196" s="1506">
        <f t="shared" si="167"/>
        <v>0</v>
      </c>
      <c r="AI196" s="1506">
        <f t="shared" si="156"/>
        <v>0.27452206261830009</v>
      </c>
      <c r="AJ196" s="1543">
        <f t="shared" si="157"/>
        <v>1</v>
      </c>
      <c r="AK196" s="1557">
        <f t="shared" si="158"/>
        <v>25828.316642905345</v>
      </c>
      <c r="AL196" s="1558">
        <f t="shared" si="159"/>
        <v>1716.4508702207631</v>
      </c>
      <c r="AM196" s="1558">
        <f t="shared" si="160"/>
        <v>82.439282724269177</v>
      </c>
      <c r="AN196" s="1500">
        <f t="shared" si="161"/>
        <v>27627.206795850379</v>
      </c>
      <c r="AO196" s="1186">
        <f t="shared" si="162"/>
        <v>0</v>
      </c>
    </row>
    <row r="197" spans="1:41">
      <c r="A197" s="127">
        <f>'Input data'!A137</f>
        <v>2037</v>
      </c>
      <c r="B197" s="1553">
        <f>'Input data'!B137</f>
        <v>69.83</v>
      </c>
      <c r="C197" s="1552">
        <f>'Input data'!C137</f>
        <v>4457.0000000000018</v>
      </c>
      <c r="D197" s="1511">
        <f>'Input data'!E137</f>
        <v>29450466.968101323</v>
      </c>
      <c r="E197" s="1510">
        <f>'Input data'!J137*C197</f>
        <v>53570.329983025658</v>
      </c>
      <c r="F197" s="1511">
        <f>'Input data'!L137</f>
        <v>83020.796951126977</v>
      </c>
      <c r="G197" s="1511">
        <f t="shared" si="171"/>
        <v>26659.179724825448</v>
      </c>
      <c r="H197" s="1511">
        <f t="shared" si="135"/>
        <v>31717.714351870902</v>
      </c>
      <c r="I197" s="1513">
        <f t="shared" si="138"/>
        <v>29450.466968101322</v>
      </c>
      <c r="J197" s="1506">
        <f t="shared" si="170"/>
        <v>0.2</v>
      </c>
      <c r="K197" s="1514">
        <f t="shared" si="164"/>
        <v>4077.4837511619889</v>
      </c>
      <c r="L197" s="1514">
        <f t="shared" si="140"/>
        <v>0</v>
      </c>
      <c r="M197" s="1513">
        <f t="shared" si="165"/>
        <v>4077.4837511619889</v>
      </c>
      <c r="N197" s="1456">
        <f t="shared" si="169"/>
        <v>0.5</v>
      </c>
      <c r="O197" s="530">
        <f t="shared" si="141"/>
        <v>751.91700000000026</v>
      </c>
      <c r="P197" s="1483">
        <f t="shared" si="168"/>
        <v>4829.4007511619893</v>
      </c>
      <c r="Q197" s="1366">
        <f t="shared" si="142"/>
        <v>53547.493325534364</v>
      </c>
      <c r="R197" s="1366">
        <f t="shared" si="166"/>
        <v>26888.313600708916</v>
      </c>
      <c r="S197" s="576">
        <f t="shared" si="143"/>
        <v>0.89666209439019084</v>
      </c>
      <c r="T197" s="135" t="str">
        <f t="shared" si="144"/>
        <v>Yes</v>
      </c>
      <c r="U197" s="1091">
        <f t="shared" si="145"/>
        <v>0.89666209439019084</v>
      </c>
      <c r="V197" s="1496">
        <f t="shared" si="136"/>
        <v>56132.483350418071</v>
      </c>
      <c r="W197" s="1493">
        <f t="shared" si="137"/>
        <v>0.32387443373420788</v>
      </c>
      <c r="X197" s="527">
        <f t="shared" si="146"/>
        <v>26659.179724825448</v>
      </c>
      <c r="Y197" s="1511">
        <f t="shared" si="147"/>
        <v>10179.905842458929</v>
      </c>
      <c r="Z197" s="1533">
        <f t="shared" si="148"/>
        <v>3172.7332635313132</v>
      </c>
      <c r="AA197" s="1533">
        <f t="shared" si="149"/>
        <v>0</v>
      </c>
      <c r="AB197" s="1533">
        <f t="shared" si="150"/>
        <v>16120.664519602384</v>
      </c>
      <c r="AC197" s="1533">
        <f t="shared" si="151"/>
        <v>56132.483350418071</v>
      </c>
      <c r="AD197" s="1489">
        <f t="shared" si="152"/>
        <v>0</v>
      </c>
      <c r="AE197" s="1456">
        <f t="shared" si="153"/>
        <v>0.47493319613886087</v>
      </c>
      <c r="AF197" s="1506">
        <f t="shared" si="154"/>
        <v>0.18135498796496966</v>
      </c>
      <c r="AG197" s="1506">
        <f t="shared" si="155"/>
        <v>5.6522232300411542E-2</v>
      </c>
      <c r="AH197" s="1506">
        <f t="shared" si="167"/>
        <v>0</v>
      </c>
      <c r="AI197" s="1506">
        <f t="shared" si="156"/>
        <v>0.28718958359575797</v>
      </c>
      <c r="AJ197" s="1543">
        <f t="shared" si="157"/>
        <v>1</v>
      </c>
      <c r="AK197" s="1557">
        <f t="shared" si="158"/>
        <v>23560.373574481058</v>
      </c>
      <c r="AL197" s="1558">
        <f t="shared" si="159"/>
        <v>2954.548844157946</v>
      </c>
      <c r="AM197" s="1558">
        <f t="shared" si="160"/>
        <v>144.25730618644332</v>
      </c>
      <c r="AN197" s="1500">
        <f t="shared" si="161"/>
        <v>26659.179724825448</v>
      </c>
      <c r="AO197" s="1186">
        <f t="shared" si="162"/>
        <v>0</v>
      </c>
    </row>
    <row r="198" spans="1:41">
      <c r="A198" s="127">
        <f>'Input data'!A138</f>
        <v>2038</v>
      </c>
      <c r="B198" s="1553">
        <f>'Input data'!B138</f>
        <v>70.341999999999999</v>
      </c>
      <c r="C198" s="1552">
        <f>'Input data'!C138</f>
        <v>4590.03</v>
      </c>
      <c r="D198" s="1511">
        <f>'Input data'!E138</f>
        <v>26615538.132570967</v>
      </c>
      <c r="E198" s="1510">
        <f>'Input data'!J138*C198</f>
        <v>55169.266711237862</v>
      </c>
      <c r="F198" s="1511">
        <f>'Input data'!L138</f>
        <v>81784.80484380883</v>
      </c>
      <c r="G198" s="1511">
        <f t="shared" si="171"/>
        <v>25725.071262263602</v>
      </c>
      <c r="H198" s="1511">
        <f t="shared" si="135"/>
        <v>30908.858716468621</v>
      </c>
      <c r="I198" s="1513">
        <f t="shared" si="138"/>
        <v>26615.538132570968</v>
      </c>
      <c r="J198" s="1506">
        <f t="shared" si="170"/>
        <v>0.2</v>
      </c>
      <c r="K198" s="1514">
        <f t="shared" si="164"/>
        <v>3684.9814429610392</v>
      </c>
      <c r="L198" s="1514">
        <f t="shared" si="140"/>
        <v>0</v>
      </c>
      <c r="M198" s="1513">
        <f t="shared" si="165"/>
        <v>3684.9814429610392</v>
      </c>
      <c r="N198" s="1456">
        <f t="shared" si="169"/>
        <v>0.5</v>
      </c>
      <c r="O198" s="530">
        <f t="shared" si="141"/>
        <v>751.91700000000026</v>
      </c>
      <c r="P198" s="1483">
        <f t="shared" si="168"/>
        <v>4436.8984429610391</v>
      </c>
      <c r="Q198" s="1366">
        <f t="shared" si="142"/>
        <v>52197.031535771181</v>
      </c>
      <c r="R198" s="1366">
        <f t="shared" si="166"/>
        <v>26471.960273507579</v>
      </c>
      <c r="S198" s="576">
        <f t="shared" si="143"/>
        <v>0.85657019962998726</v>
      </c>
      <c r="T198" s="135" t="str">
        <f t="shared" si="144"/>
        <v>Yes</v>
      </c>
      <c r="U198" s="1091">
        <f t="shared" si="145"/>
        <v>0.85657019962998726</v>
      </c>
      <c r="V198" s="1496">
        <f t="shared" si="136"/>
        <v>55312.844570301255</v>
      </c>
      <c r="W198" s="1493">
        <f t="shared" si="137"/>
        <v>0.32367822267306567</v>
      </c>
      <c r="X198" s="527">
        <f t="shared" si="146"/>
        <v>25725.071262263602</v>
      </c>
      <c r="Y198" s="1511">
        <f t="shared" si="147"/>
        <v>9740.9599564542732</v>
      </c>
      <c r="Z198" s="1533">
        <f t="shared" si="148"/>
        <v>3244.988409938665</v>
      </c>
      <c r="AA198" s="1533">
        <f t="shared" si="149"/>
        <v>0</v>
      </c>
      <c r="AB198" s="1533">
        <f t="shared" si="150"/>
        <v>16601.824941644718</v>
      </c>
      <c r="AC198" s="1533">
        <f t="shared" si="151"/>
        <v>55312.844570301255</v>
      </c>
      <c r="AD198" s="1489">
        <f t="shared" si="152"/>
        <v>0</v>
      </c>
      <c r="AE198" s="1456">
        <f t="shared" si="153"/>
        <v>0.46508313687551672</v>
      </c>
      <c r="AF198" s="1506">
        <f t="shared" si="154"/>
        <v>0.17610665356531707</v>
      </c>
      <c r="AG198" s="1506">
        <f t="shared" si="155"/>
        <v>5.8666091667268445E-2</v>
      </c>
      <c r="AH198" s="1506">
        <f t="shared" si="167"/>
        <v>0</v>
      </c>
      <c r="AI198" s="1506">
        <f t="shared" si="156"/>
        <v>0.30014411789189777</v>
      </c>
      <c r="AJ198" s="1543">
        <f t="shared" si="157"/>
        <v>1</v>
      </c>
      <c r="AK198" s="1557">
        <f t="shared" si="158"/>
        <v>21292.430506056775</v>
      </c>
      <c r="AL198" s="1558">
        <f t="shared" si="159"/>
        <v>4223.2209433428025</v>
      </c>
      <c r="AM198" s="1558">
        <f t="shared" si="160"/>
        <v>209.41981286402483</v>
      </c>
      <c r="AN198" s="1500">
        <f t="shared" si="161"/>
        <v>25725.071262263602</v>
      </c>
      <c r="AO198" s="1186">
        <f t="shared" si="162"/>
        <v>0</v>
      </c>
    </row>
    <row r="199" spans="1:41">
      <c r="A199" s="127">
        <f>'Input data'!A139</f>
        <v>2039</v>
      </c>
      <c r="B199" s="1553">
        <f>'Input data'!B139</f>
        <v>70.856999999999999</v>
      </c>
      <c r="C199" s="1552">
        <f>'Input data'!C139</f>
        <v>4728.5300000000007</v>
      </c>
      <c r="D199" s="1511">
        <f>'Input data'!E139</f>
        <v>23780609.297040608</v>
      </c>
      <c r="E199" s="1510">
        <f>'Input data'!J139*C199</f>
        <v>56833.949390764246</v>
      </c>
      <c r="F199" s="1511">
        <f>'Input data'!L139</f>
        <v>80614.558687804849</v>
      </c>
      <c r="G199" s="1511">
        <f t="shared" si="171"/>
        <v>24823.692937269236</v>
      </c>
      <c r="H199" s="1511">
        <f t="shared" si="135"/>
        <v>30104.998438456973</v>
      </c>
      <c r="I199" s="1513">
        <f t="shared" si="138"/>
        <v>23780.609297040606</v>
      </c>
      <c r="J199" s="1506">
        <f t="shared" si="170"/>
        <v>0.2</v>
      </c>
      <c r="K199" s="1514">
        <f t="shared" si="164"/>
        <v>3292.4791347600881</v>
      </c>
      <c r="L199" s="1514">
        <f t="shared" si="140"/>
        <v>0</v>
      </c>
      <c r="M199" s="1513">
        <f t="shared" si="165"/>
        <v>3292.4791347600881</v>
      </c>
      <c r="N199" s="1456">
        <f t="shared" si="169"/>
        <v>0.5</v>
      </c>
      <c r="O199" s="530">
        <f t="shared" si="141"/>
        <v>751.91700000000026</v>
      </c>
      <c r="P199" s="1483">
        <f t="shared" si="168"/>
        <v>4044.3961347600884</v>
      </c>
      <c r="Q199" s="1366">
        <f t="shared" si="142"/>
        <v>50884.295240966123</v>
      </c>
      <c r="R199" s="1366">
        <f t="shared" si="166"/>
        <v>26060.602303696887</v>
      </c>
      <c r="S199" s="576">
        <f t="shared" si="143"/>
        <v>0.81797738594549985</v>
      </c>
      <c r="T199" s="135" t="str">
        <f t="shared" si="144"/>
        <v>Yes</v>
      </c>
      <c r="U199" s="1091">
        <f t="shared" si="145"/>
        <v>0.81797738594549985</v>
      </c>
      <c r="V199" s="1496">
        <f t="shared" si="136"/>
        <v>54553.95638410798</v>
      </c>
      <c r="W199" s="1493">
        <f t="shared" si="137"/>
        <v>0.32327414213878525</v>
      </c>
      <c r="X199" s="527">
        <f t="shared" si="146"/>
        <v>24823.692937269236</v>
      </c>
      <c r="Y199" s="1511">
        <f t="shared" si="147"/>
        <v>9307.2788840226804</v>
      </c>
      <c r="Z199" s="1533">
        <f t="shared" si="148"/>
        <v>3320.2145828125908</v>
      </c>
      <c r="AA199" s="1533">
        <f t="shared" si="149"/>
        <v>0</v>
      </c>
      <c r="AB199" s="1533">
        <f t="shared" si="150"/>
        <v>17102.769980003464</v>
      </c>
      <c r="AC199" s="1533">
        <f t="shared" si="151"/>
        <v>54553.95638410798</v>
      </c>
      <c r="AD199" s="1489">
        <f t="shared" si="152"/>
        <v>0</v>
      </c>
      <c r="AE199" s="1456">
        <f t="shared" si="153"/>
        <v>0.45503011298554663</v>
      </c>
      <c r="AF199" s="1506">
        <f t="shared" si="154"/>
        <v>0.17060685422137353</v>
      </c>
      <c r="AG199" s="1506">
        <f t="shared" si="155"/>
        <v>6.0861114443017679E-2</v>
      </c>
      <c r="AH199" s="1506">
        <f t="shared" si="167"/>
        <v>0</v>
      </c>
      <c r="AI199" s="1506">
        <f t="shared" si="156"/>
        <v>0.31350191835006203</v>
      </c>
      <c r="AJ199" s="1543">
        <f t="shared" si="157"/>
        <v>0.99999999999999989</v>
      </c>
      <c r="AK199" s="1557">
        <f t="shared" si="158"/>
        <v>19024.487437632484</v>
      </c>
      <c r="AL199" s="1558">
        <f t="shared" si="159"/>
        <v>5521.287735624519</v>
      </c>
      <c r="AM199" s="1558">
        <f t="shared" si="160"/>
        <v>277.91776401223109</v>
      </c>
      <c r="AN199" s="1500">
        <f t="shared" si="161"/>
        <v>24823.692937269236</v>
      </c>
      <c r="AO199" s="1186">
        <f t="shared" si="162"/>
        <v>0</v>
      </c>
    </row>
    <row r="200" spans="1:41">
      <c r="A200" s="127">
        <f>'Input data'!A140</f>
        <v>2040</v>
      </c>
      <c r="B200" s="1553">
        <f>'Input data'!B140</f>
        <v>71.375</v>
      </c>
      <c r="C200" s="1552">
        <f>'Input data'!C140</f>
        <v>4875.51</v>
      </c>
      <c r="D200" s="1511">
        <f>'Input data'!E140</f>
        <v>20945680.461510252</v>
      </c>
      <c r="E200" s="1510">
        <f>'Input data'!J140*C200</f>
        <v>58600.556323881829</v>
      </c>
      <c r="F200" s="1511">
        <f>'Input data'!L140</f>
        <v>79546.236785392073</v>
      </c>
      <c r="G200" s="1511">
        <f>G177*(1-$C$5)</f>
        <v>23953.89792166539</v>
      </c>
      <c r="H200" s="1511">
        <f t="shared" si="135"/>
        <v>29328.039713439583</v>
      </c>
      <c r="I200" s="1513">
        <f t="shared" si="138"/>
        <v>20945.680461510252</v>
      </c>
      <c r="J200" s="1506">
        <f t="shared" si="170"/>
        <v>0.2</v>
      </c>
      <c r="K200" s="1514">
        <f t="shared" si="164"/>
        <v>2899.9768265591383</v>
      </c>
      <c r="L200" s="1514">
        <f t="shared" si="140"/>
        <v>0</v>
      </c>
      <c r="M200" s="1513">
        <f t="shared" si="165"/>
        <v>2899.9768265591383</v>
      </c>
      <c r="N200" s="1456">
        <f t="shared" si="169"/>
        <v>0.5</v>
      </c>
      <c r="O200" s="530">
        <f t="shared" si="141"/>
        <v>751.91700000000026</v>
      </c>
      <c r="P200" s="1483">
        <f t="shared" si="168"/>
        <v>3651.8938265591387</v>
      </c>
      <c r="Q200" s="1366">
        <f t="shared" si="142"/>
        <v>49630.04380854583</v>
      </c>
      <c r="R200" s="1366">
        <f t="shared" si="166"/>
        <v>25676.14588688044</v>
      </c>
      <c r="S200" s="576">
        <f t="shared" si="143"/>
        <v>0.78105910002862156</v>
      </c>
      <c r="T200" s="135" t="str">
        <f t="shared" si="144"/>
        <v>Yes</v>
      </c>
      <c r="U200" s="1091">
        <f t="shared" si="145"/>
        <v>0.78105910002862156</v>
      </c>
      <c r="V200" s="1496">
        <f t="shared" si="136"/>
        <v>53870.09089851164</v>
      </c>
      <c r="W200" s="1493">
        <f t="shared" si="137"/>
        <v>0.32278265980265231</v>
      </c>
      <c r="X200" s="527">
        <f t="shared" si="146"/>
        <v>23953.897921665386</v>
      </c>
      <c r="Y200" s="1511">
        <f t="shared" si="147"/>
        <v>8881.7597163624923</v>
      </c>
      <c r="Z200" s="1533">
        <f t="shared" si="148"/>
        <v>3400.0466614335983</v>
      </c>
      <c r="AA200" s="1533">
        <f t="shared" si="149"/>
        <v>0</v>
      </c>
      <c r="AB200" s="1533">
        <f t="shared" si="150"/>
        <v>17634.386599050165</v>
      </c>
      <c r="AC200" s="1533">
        <f t="shared" si="151"/>
        <v>53870.09089851164</v>
      </c>
      <c r="AD200" s="1489">
        <f t="shared" si="152"/>
        <v>0</v>
      </c>
      <c r="AE200" s="1456">
        <f t="shared" si="153"/>
        <v>0.44466043257274696</v>
      </c>
      <c r="AF200" s="1506">
        <f t="shared" si="154"/>
        <v>0.16487367235179259</v>
      </c>
      <c r="AG200" s="1506">
        <f t="shared" si="155"/>
        <v>6.3115665942333449E-2</v>
      </c>
      <c r="AH200" s="1506">
        <f t="shared" si="167"/>
        <v>0</v>
      </c>
      <c r="AI200" s="1506">
        <f t="shared" si="156"/>
        <v>0.327350229133127</v>
      </c>
      <c r="AJ200" s="1543">
        <f t="shared" si="157"/>
        <v>1</v>
      </c>
      <c r="AK200" s="1557">
        <f t="shared" si="158"/>
        <v>16756.544369208201</v>
      </c>
      <c r="AL200" s="1558">
        <f t="shared" si="159"/>
        <v>6847.5598242440856</v>
      </c>
      <c r="AM200" s="1558">
        <f t="shared" si="160"/>
        <v>349.79372821309863</v>
      </c>
      <c r="AN200" s="1500">
        <f t="shared" si="161"/>
        <v>23953.897921665386</v>
      </c>
      <c r="AO200" s="1186">
        <f t="shared" si="162"/>
        <v>0</v>
      </c>
    </row>
    <row r="201" spans="1:41">
      <c r="A201" s="127">
        <f>'Input data'!A141</f>
        <v>2041</v>
      </c>
      <c r="B201" s="1553">
        <f>'Input data'!B141</f>
        <v>71.819000000000003</v>
      </c>
      <c r="C201" s="1552">
        <f>'Input data'!C141</f>
        <v>5028.54</v>
      </c>
      <c r="D201" s="1511">
        <f>'Input data'!E141</f>
        <v>19664699.523913871</v>
      </c>
      <c r="E201" s="1510">
        <f>'Input data'!J141*C201</f>
        <v>60439.880442639384</v>
      </c>
      <c r="F201" s="1511">
        <f>'Input data'!L141</f>
        <v>80104.579966553254</v>
      </c>
      <c r="G201" s="1511">
        <f>$G$160*(1+((($G$170/$G$160)^(1/($A$170-$A$160)))-1))^(A201-$A$160)</f>
        <v>22650.218174049241</v>
      </c>
      <c r="H201" s="1511">
        <f t="shared" si="135"/>
        <v>30484.997278203544</v>
      </c>
      <c r="I201" s="1513">
        <f t="shared" si="138"/>
        <v>19664.699523913871</v>
      </c>
      <c r="J201" s="1506">
        <f t="shared" si="170"/>
        <v>0.2</v>
      </c>
      <c r="K201" s="1514">
        <f t="shared" si="164"/>
        <v>2722.6221189324351</v>
      </c>
      <c r="L201" s="1514">
        <f t="shared" si="140"/>
        <v>0</v>
      </c>
      <c r="M201" s="1513">
        <f t="shared" si="165"/>
        <v>2722.6221189324351</v>
      </c>
      <c r="N201" s="1456">
        <f t="shared" si="169"/>
        <v>0.5</v>
      </c>
      <c r="O201" s="530">
        <f t="shared" si="141"/>
        <v>751.91700000000026</v>
      </c>
      <c r="P201" s="1483">
        <f t="shared" si="168"/>
        <v>3474.5391189324355</v>
      </c>
      <c r="Q201" s="1366">
        <f t="shared" si="142"/>
        <v>49660.676333320349</v>
      </c>
      <c r="R201" s="1366">
        <f t="shared" si="166"/>
        <v>27010.458159271107</v>
      </c>
      <c r="S201" s="576">
        <f t="shared" si="143"/>
        <v>0.79608961249196586</v>
      </c>
      <c r="T201" s="135" t="str">
        <f t="shared" si="144"/>
        <v>Yes</v>
      </c>
      <c r="U201" s="1091">
        <f t="shared" si="145"/>
        <v>0.79608961249196586</v>
      </c>
      <c r="V201" s="1496">
        <f t="shared" si="136"/>
        <v>53094.121807282165</v>
      </c>
      <c r="W201" s="1493">
        <f t="shared" si="137"/>
        <v>0.33718993558856425</v>
      </c>
      <c r="X201" s="527">
        <f t="shared" si="146"/>
        <v>22650.218174049245</v>
      </c>
      <c r="Y201" s="1511">
        <f t="shared" si="147"/>
        <v>8772.8531853488894</v>
      </c>
      <c r="Z201" s="1533">
        <f t="shared" si="148"/>
        <v>3483.1647930935037</v>
      </c>
      <c r="AA201" s="1533">
        <f t="shared" si="149"/>
        <v>0</v>
      </c>
      <c r="AB201" s="1533">
        <f t="shared" si="150"/>
        <v>18187.88565479052</v>
      </c>
      <c r="AC201" s="1533">
        <f t="shared" si="151"/>
        <v>53094.121807282165</v>
      </c>
      <c r="AD201" s="1489">
        <f t="shared" si="152"/>
        <v>0</v>
      </c>
      <c r="AE201" s="1456">
        <f t="shared" si="153"/>
        <v>0.42660500641226612</v>
      </c>
      <c r="AF201" s="1506">
        <f t="shared" si="154"/>
        <v>0.1652320988977285</v>
      </c>
      <c r="AG201" s="1506">
        <f t="shared" si="155"/>
        <v>6.560358613212372E-2</v>
      </c>
      <c r="AH201" s="1506">
        <f t="shared" si="167"/>
        <v>0</v>
      </c>
      <c r="AI201" s="1506">
        <f t="shared" si="156"/>
        <v>0.34255930855788158</v>
      </c>
      <c r="AJ201" s="1543">
        <f t="shared" si="157"/>
        <v>1</v>
      </c>
      <c r="AK201" s="1557">
        <f t="shared" si="158"/>
        <v>15731.759619131095</v>
      </c>
      <c r="AL201" s="1558">
        <f t="shared" si="159"/>
        <v>6577.6406558557919</v>
      </c>
      <c r="AM201" s="1558">
        <f t="shared" si="160"/>
        <v>340.81789906235372</v>
      </c>
      <c r="AN201" s="1500">
        <f t="shared" si="161"/>
        <v>22650.218174049241</v>
      </c>
      <c r="AO201" s="1186">
        <f t="shared" si="162"/>
        <v>0</v>
      </c>
    </row>
    <row r="202" spans="1:41">
      <c r="A202" s="127">
        <f>'Input data'!A142</f>
        <v>2042</v>
      </c>
      <c r="B202" s="1553">
        <f>'Input data'!B142</f>
        <v>72.265000000000001</v>
      </c>
      <c r="C202" s="1552">
        <f>'Input data'!C142</f>
        <v>5188.1000000000004</v>
      </c>
      <c r="D202" s="1511">
        <f>'Input data'!E142</f>
        <v>18383718.586317491</v>
      </c>
      <c r="E202" s="1510">
        <f>'Input data'!J142*C202</f>
        <v>62357.691044409985</v>
      </c>
      <c r="F202" s="1511">
        <f>'Input data'!L142</f>
        <v>80741.409630727474</v>
      </c>
      <c r="G202" s="1511">
        <f t="shared" ref="G202:G209" si="172">$G$160*(1+((($G$170/$G$160)^(1/($A$170-$A$160)))-1))^(A202-$A$160)</f>
        <v>21417.490590039302</v>
      </c>
      <c r="H202" s="1511">
        <f t="shared" si="135"/>
        <v>31616.038782117499</v>
      </c>
      <c r="I202" s="1513">
        <f t="shared" si="138"/>
        <v>18383.718586317489</v>
      </c>
      <c r="J202" s="1506">
        <f t="shared" si="170"/>
        <v>0.2</v>
      </c>
      <c r="K202" s="1514">
        <f t="shared" si="164"/>
        <v>2545.2674113057319</v>
      </c>
      <c r="L202" s="1514">
        <f t="shared" si="140"/>
        <v>0</v>
      </c>
      <c r="M202" s="530">
        <f t="shared" si="165"/>
        <v>2545.2674113057319</v>
      </c>
      <c r="N202" s="649">
        <f t="shared" si="169"/>
        <v>0.5</v>
      </c>
      <c r="O202" s="530">
        <f t="shared" si="141"/>
        <v>751.91700000000026</v>
      </c>
      <c r="P202" s="1483">
        <f t="shared" si="168"/>
        <v>3297.1844113057323</v>
      </c>
      <c r="Q202" s="1366">
        <f t="shared" si="142"/>
        <v>49736.344960851071</v>
      </c>
      <c r="R202" s="1366">
        <f t="shared" si="166"/>
        <v>28318.854370811769</v>
      </c>
      <c r="S202" s="576">
        <f t="shared" si="143"/>
        <v>0.80843173304572979</v>
      </c>
      <c r="T202" s="135" t="str">
        <f t="shared" si="144"/>
        <v>Yes</v>
      </c>
      <c r="U202" s="1091">
        <f t="shared" si="145"/>
        <v>0.80843173304572979</v>
      </c>
      <c r="V202" s="1496">
        <f t="shared" si="136"/>
        <v>52422.555259915716</v>
      </c>
      <c r="W202" s="1493">
        <f t="shared" si="137"/>
        <v>0.35073519895588434</v>
      </c>
      <c r="X202" s="527">
        <f t="shared" si="146"/>
        <v>21417.490590039306</v>
      </c>
      <c r="Y202" s="1511">
        <f t="shared" si="147"/>
        <v>8670.2317060047753</v>
      </c>
      <c r="Z202" s="1533">
        <f t="shared" si="148"/>
        <v>3569.829689438367</v>
      </c>
      <c r="AA202" s="1533">
        <f t="shared" si="149"/>
        <v>0</v>
      </c>
      <c r="AB202" s="1533">
        <f t="shared" si="150"/>
        <v>18765.003274433271</v>
      </c>
      <c r="AC202" s="1533">
        <f t="shared" si="151"/>
        <v>52422.555259915716</v>
      </c>
      <c r="AD202" s="1489">
        <f t="shared" si="152"/>
        <v>0</v>
      </c>
      <c r="AE202" s="1456">
        <f t="shared" si="153"/>
        <v>0.40855487650019107</v>
      </c>
      <c r="AF202" s="1506">
        <f t="shared" si="154"/>
        <v>0.1653912454861651</v>
      </c>
      <c r="AG202" s="1506">
        <f t="shared" si="155"/>
        <v>6.8097208763266734E-2</v>
      </c>
      <c r="AH202" s="1506">
        <f t="shared" si="167"/>
        <v>0</v>
      </c>
      <c r="AI202" s="1506">
        <f t="shared" si="156"/>
        <v>0.35795666925037717</v>
      </c>
      <c r="AJ202" s="1543">
        <f t="shared" si="157"/>
        <v>1</v>
      </c>
      <c r="AK202" s="1557">
        <f t="shared" si="158"/>
        <v>14706.974869053989</v>
      </c>
      <c r="AL202" s="1558">
        <f t="shared" si="159"/>
        <v>6375.5960592981955</v>
      </c>
      <c r="AM202" s="1558">
        <f t="shared" si="160"/>
        <v>334.91966168711309</v>
      </c>
      <c r="AN202" s="1500">
        <f t="shared" si="161"/>
        <v>21417.490590039299</v>
      </c>
      <c r="AO202" s="1186">
        <f t="shared" si="162"/>
        <v>0</v>
      </c>
    </row>
    <row r="203" spans="1:41">
      <c r="A203" s="127">
        <f>'Input data'!A143</f>
        <v>2043</v>
      </c>
      <c r="B203" s="1553">
        <f>'Input data'!B143</f>
        <v>72.713999999999999</v>
      </c>
      <c r="C203" s="1552">
        <f>'Input data'!C143</f>
        <v>5353.7899999999991</v>
      </c>
      <c r="D203" s="1511">
        <f>'Input data'!E143</f>
        <v>17102737.64872111</v>
      </c>
      <c r="E203" s="1510">
        <f>'Input data'!J143*C203</f>
        <v>64349.180381382714</v>
      </c>
      <c r="F203" s="1511">
        <f>'Input data'!L143</f>
        <v>81451.918030103829</v>
      </c>
      <c r="G203" s="1511">
        <f t="shared" si="172"/>
        <v>20251.853631148377</v>
      </c>
      <c r="H203" s="1511">
        <f t="shared" si="135"/>
        <v>32722.267043744825</v>
      </c>
      <c r="I203" s="1513">
        <f t="shared" si="138"/>
        <v>17102.737648721111</v>
      </c>
      <c r="J203" s="1506">
        <f t="shared" si="170"/>
        <v>0.2</v>
      </c>
      <c r="K203" s="1514">
        <f t="shared" si="164"/>
        <v>2367.9127036790292</v>
      </c>
      <c r="L203" s="1514">
        <f t="shared" si="140"/>
        <v>0</v>
      </c>
      <c r="M203" s="530">
        <f t="shared" si="165"/>
        <v>2367.9127036790292</v>
      </c>
      <c r="N203" s="649">
        <f t="shared" si="169"/>
        <v>0.5</v>
      </c>
      <c r="O203" s="530">
        <f t="shared" si="141"/>
        <v>751.91700000000026</v>
      </c>
      <c r="P203" s="1483">
        <f t="shared" si="168"/>
        <v>3119.8297036790295</v>
      </c>
      <c r="Q203" s="1366">
        <f t="shared" si="142"/>
        <v>49854.29097121417</v>
      </c>
      <c r="R203" s="1366">
        <f t="shared" si="166"/>
        <v>29602.437340065793</v>
      </c>
      <c r="S203" s="576">
        <f t="shared" si="143"/>
        <v>0.81837760712300056</v>
      </c>
      <c r="T203" s="135" t="str">
        <f t="shared" si="144"/>
        <v>Yes</v>
      </c>
      <c r="U203" s="1091">
        <f t="shared" si="145"/>
        <v>0.81837760712300056</v>
      </c>
      <c r="V203" s="1496">
        <f t="shared" si="136"/>
        <v>51849.480690038043</v>
      </c>
      <c r="W203" s="1493">
        <f t="shared" si="137"/>
        <v>0.36343450290667212</v>
      </c>
      <c r="X203" s="527">
        <f t="shared" si="146"/>
        <v>20251.853631148377</v>
      </c>
      <c r="Y203" s="1511">
        <f t="shared" si="147"/>
        <v>8573.5102828220661</v>
      </c>
      <c r="Z203" s="1533">
        <f t="shared" si="148"/>
        <v>3659.8240907631371</v>
      </c>
      <c r="AA203" s="1533">
        <f t="shared" si="149"/>
        <v>0</v>
      </c>
      <c r="AB203" s="1533">
        <f t="shared" si="150"/>
        <v>19364.292685304463</v>
      </c>
      <c r="AC203" s="1533">
        <f t="shared" si="151"/>
        <v>51849.480690038043</v>
      </c>
      <c r="AD203" s="1489">
        <f t="shared" si="152"/>
        <v>0</v>
      </c>
      <c r="AE203" s="1456">
        <f t="shared" si="153"/>
        <v>0.39058932436018423</v>
      </c>
      <c r="AF203" s="1506">
        <f t="shared" si="154"/>
        <v>0.16535383129631448</v>
      </c>
      <c r="AG203" s="1506">
        <f t="shared" si="155"/>
        <v>7.0585549595799657E-2</v>
      </c>
      <c r="AH203" s="1506">
        <f t="shared" si="167"/>
        <v>0</v>
      </c>
      <c r="AI203" s="1506">
        <f t="shared" si="156"/>
        <v>0.37347129474770163</v>
      </c>
      <c r="AJ203" s="1543">
        <f t="shared" si="157"/>
        <v>1</v>
      </c>
      <c r="AK203" s="1557">
        <f t="shared" si="158"/>
        <v>13682.190118976889</v>
      </c>
      <c r="AL203" s="1558">
        <f t="shared" si="159"/>
        <v>6237.6300018105885</v>
      </c>
      <c r="AM203" s="1558">
        <f t="shared" si="160"/>
        <v>332.03351036089526</v>
      </c>
      <c r="AN203" s="1500">
        <f t="shared" si="161"/>
        <v>20251.853631148373</v>
      </c>
      <c r="AO203" s="1186">
        <f t="shared" si="162"/>
        <v>0</v>
      </c>
    </row>
    <row r="204" spans="1:41">
      <c r="A204" s="127">
        <f>'Input data'!A144</f>
        <v>2044</v>
      </c>
      <c r="B204" s="1553">
        <f>'Input data'!B144</f>
        <v>73.165000000000006</v>
      </c>
      <c r="C204" s="1552">
        <f>'Input data'!C144</f>
        <v>5526.5000000000018</v>
      </c>
      <c r="D204" s="1511">
        <f>'Input data'!E144</f>
        <v>15821756.711124728</v>
      </c>
      <c r="E204" s="1510">
        <f>'Input data'!J144*C204</f>
        <v>66425.045692436906</v>
      </c>
      <c r="F204" s="1511">
        <f>'Input data'!L144</f>
        <v>82246.80240356164</v>
      </c>
      <c r="G204" s="1511">
        <f t="shared" si="172"/>
        <v>19149.655921324487</v>
      </c>
      <c r="H204" s="1511">
        <f t="shared" si="135"/>
        <v>33813.471590967994</v>
      </c>
      <c r="I204" s="1513">
        <f t="shared" si="138"/>
        <v>15821.756711124728</v>
      </c>
      <c r="J204" s="1506">
        <f t="shared" si="170"/>
        <v>0.2</v>
      </c>
      <c r="K204" s="1514">
        <f t="shared" si="164"/>
        <v>2190.5579960523255</v>
      </c>
      <c r="L204" s="1514">
        <f t="shared" si="140"/>
        <v>0</v>
      </c>
      <c r="M204" s="530">
        <f t="shared" si="165"/>
        <v>2190.5579960523255</v>
      </c>
      <c r="N204" s="649">
        <f t="shared" si="169"/>
        <v>0.5</v>
      </c>
      <c r="O204" s="530">
        <f t="shared" si="141"/>
        <v>751.91700000000026</v>
      </c>
      <c r="P204" s="1483">
        <f t="shared" si="168"/>
        <v>2942.4749960523259</v>
      </c>
      <c r="Q204" s="1366">
        <f t="shared" si="142"/>
        <v>50020.652516240159</v>
      </c>
      <c r="R204" s="1366">
        <f t="shared" si="166"/>
        <v>30870.996594915672</v>
      </c>
      <c r="S204" s="576">
        <f t="shared" si="143"/>
        <v>0.82623965934163079</v>
      </c>
      <c r="T204" s="135" t="str">
        <f t="shared" si="144"/>
        <v>Yes</v>
      </c>
      <c r="U204" s="1091">
        <f t="shared" si="145"/>
        <v>0.82623965934163079</v>
      </c>
      <c r="V204" s="1496">
        <f t="shared" si="136"/>
        <v>51375.805808645964</v>
      </c>
      <c r="W204" s="1493">
        <f t="shared" si="137"/>
        <v>0.3753458577446025</v>
      </c>
      <c r="X204" s="527">
        <f t="shared" si="146"/>
        <v>19149.655921324487</v>
      </c>
      <c r="Y204" s="1511">
        <f t="shared" si="147"/>
        <v>8483.5455308062519</v>
      </c>
      <c r="Z204" s="1533">
        <f t="shared" si="148"/>
        <v>3753.6313999115555</v>
      </c>
      <c r="AA204" s="1533">
        <f t="shared" si="149"/>
        <v>0</v>
      </c>
      <c r="AB204" s="1533">
        <f t="shared" si="150"/>
        <v>19988.972956603673</v>
      </c>
      <c r="AC204" s="1533">
        <f t="shared" si="151"/>
        <v>51375.805808645964</v>
      </c>
      <c r="AD204" s="1489">
        <f t="shared" si="152"/>
        <v>0</v>
      </c>
      <c r="AE204" s="1456">
        <f t="shared" si="153"/>
        <v>0.37273684801459245</v>
      </c>
      <c r="AF204" s="1506">
        <f t="shared" si="154"/>
        <v>0.16512725002122627</v>
      </c>
      <c r="AG204" s="1506">
        <f t="shared" si="155"/>
        <v>7.3062238943605279E-2</v>
      </c>
      <c r="AH204" s="1506">
        <f t="shared" si="167"/>
        <v>0</v>
      </c>
      <c r="AI204" s="1506">
        <f t="shared" si="156"/>
        <v>0.38907366302057605</v>
      </c>
      <c r="AJ204" s="1543">
        <f t="shared" si="157"/>
        <v>1</v>
      </c>
      <c r="AK204" s="1557">
        <f t="shared" si="158"/>
        <v>12657.405368899781</v>
      </c>
      <c r="AL204" s="1558">
        <f t="shared" si="159"/>
        <v>6160.1277451538854</v>
      </c>
      <c r="AM204" s="1558">
        <f t="shared" si="160"/>
        <v>332.12280727081838</v>
      </c>
      <c r="AN204" s="1500">
        <f t="shared" si="161"/>
        <v>19149.655921324484</v>
      </c>
      <c r="AO204" s="1186">
        <f t="shared" si="162"/>
        <v>0</v>
      </c>
    </row>
    <row r="205" spans="1:41">
      <c r="A205" s="127">
        <f>'Input data'!A145</f>
        <v>2045</v>
      </c>
      <c r="B205" s="1553">
        <f>'Input data'!B145</f>
        <v>73.62</v>
      </c>
      <c r="C205" s="1552">
        <f>'Input data'!C145</f>
        <v>5709.93</v>
      </c>
      <c r="D205" s="1511">
        <f>'Input data'!E145</f>
        <v>14540775.773528345</v>
      </c>
      <c r="E205" s="1510">
        <f>'Input data'!J145*C205</f>
        <v>68629.758644823334</v>
      </c>
      <c r="F205" s="1511">
        <f>'Input data'!L145</f>
        <v>83170.534418351686</v>
      </c>
      <c r="G205" s="1511">
        <f t="shared" si="172"/>
        <v>18107.444808958157</v>
      </c>
      <c r="H205" s="1511">
        <f t="shared" si="135"/>
        <v>34918.623234691695</v>
      </c>
      <c r="I205" s="1513">
        <f t="shared" si="138"/>
        <v>14540.775773528345</v>
      </c>
      <c r="J205" s="1506">
        <f t="shared" si="170"/>
        <v>0.2</v>
      </c>
      <c r="K205" s="1514">
        <f t="shared" si="164"/>
        <v>2013.2032884256218</v>
      </c>
      <c r="L205" s="1514">
        <f t="shared" si="140"/>
        <v>0</v>
      </c>
      <c r="M205" s="530">
        <f t="shared" si="165"/>
        <v>2013.2032884256218</v>
      </c>
      <c r="N205" s="649">
        <f t="shared" si="169"/>
        <v>0.5</v>
      </c>
      <c r="O205" s="530">
        <f t="shared" si="141"/>
        <v>751.91700000000026</v>
      </c>
      <c r="P205" s="1483">
        <f t="shared" si="168"/>
        <v>2765.1202884256222</v>
      </c>
      <c r="Q205" s="1366">
        <f t="shared" si="142"/>
        <v>50260.947755224232</v>
      </c>
      <c r="R205" s="1366">
        <f t="shared" si="166"/>
        <v>32153.502946266075</v>
      </c>
      <c r="S205" s="576">
        <f t="shared" si="143"/>
        <v>0.83238144982898055</v>
      </c>
      <c r="T205" s="135" t="str">
        <f t="shared" si="144"/>
        <v>Yes</v>
      </c>
      <c r="U205" s="1091">
        <f t="shared" si="145"/>
        <v>0.83238144982898055</v>
      </c>
      <c r="V205" s="1496">
        <f t="shared" si="136"/>
        <v>51017.031472085611</v>
      </c>
      <c r="W205" s="1493">
        <f t="shared" si="137"/>
        <v>0.38659728678106653</v>
      </c>
      <c r="X205" s="527">
        <f t="shared" si="146"/>
        <v>18107.444808958153</v>
      </c>
      <c r="Y205" s="1511">
        <f t="shared" si="147"/>
        <v>8403.8986584071172</v>
      </c>
      <c r="Z205" s="1533">
        <f t="shared" si="148"/>
        <v>3853.2612691553395</v>
      </c>
      <c r="AA205" s="1533">
        <f t="shared" si="149"/>
        <v>0</v>
      </c>
      <c r="AB205" s="1533">
        <f t="shared" si="150"/>
        <v>20652.426735565001</v>
      </c>
      <c r="AC205" s="1533">
        <f t="shared" si="151"/>
        <v>51017.031472085611</v>
      </c>
      <c r="AD205" s="1489">
        <f t="shared" si="152"/>
        <v>0</v>
      </c>
      <c r="AE205" s="1456">
        <f t="shared" si="153"/>
        <v>0.35492940860084715</v>
      </c>
      <c r="AF205" s="1506">
        <f t="shared" si="154"/>
        <v>0.16472731587696118</v>
      </c>
      <c r="AG205" s="1506">
        <f t="shared" si="155"/>
        <v>7.5528919617043638E-2</v>
      </c>
      <c r="AH205" s="1506">
        <f t="shared" si="167"/>
        <v>0</v>
      </c>
      <c r="AI205" s="1506">
        <f t="shared" si="156"/>
        <v>0.40481435590514797</v>
      </c>
      <c r="AJ205" s="1543">
        <f t="shared" si="157"/>
        <v>1</v>
      </c>
      <c r="AK205" s="1557">
        <f t="shared" si="158"/>
        <v>11632.620618822675</v>
      </c>
      <c r="AL205" s="1558">
        <f t="shared" si="159"/>
        <v>6139.6236266538981</v>
      </c>
      <c r="AM205" s="1558">
        <f t="shared" si="160"/>
        <v>335.20056348157624</v>
      </c>
      <c r="AN205" s="1500">
        <f t="shared" si="161"/>
        <v>18107.444808958149</v>
      </c>
      <c r="AO205" s="1186">
        <f t="shared" si="162"/>
        <v>0</v>
      </c>
    </row>
    <row r="206" spans="1:41">
      <c r="A206" s="127">
        <f>'Input data'!A146</f>
        <v>2046</v>
      </c>
      <c r="B206" s="1553">
        <f>'Input data'!B146</f>
        <v>73.995000000000005</v>
      </c>
      <c r="C206" s="1552">
        <f>'Input data'!C146</f>
        <v>5902.43</v>
      </c>
      <c r="D206" s="1511">
        <f>'Input data'!E146</f>
        <v>13259794.835931966</v>
      </c>
      <c r="E206" s="1510">
        <f>'Input data'!J146*C206</f>
        <v>70943.487278822082</v>
      </c>
      <c r="F206" s="1511">
        <f>'Input data'!L146</f>
        <v>84203.282114754053</v>
      </c>
      <c r="G206" s="1511">
        <f t="shared" si="172"/>
        <v>17121.955551397077</v>
      </c>
      <c r="H206" s="1511">
        <f t="shared" si="135"/>
        <v>36029.60699788254</v>
      </c>
      <c r="I206" s="1513">
        <f t="shared" si="138"/>
        <v>13259.794835931965</v>
      </c>
      <c r="J206" s="1506">
        <f t="shared" si="170"/>
        <v>0.2</v>
      </c>
      <c r="K206" s="1514">
        <f t="shared" si="164"/>
        <v>1835.8485807989186</v>
      </c>
      <c r="L206" s="1514">
        <f t="shared" si="140"/>
        <v>0</v>
      </c>
      <c r="M206" s="530">
        <f t="shared" si="165"/>
        <v>1835.8485807989186</v>
      </c>
      <c r="N206" s="649">
        <f t="shared" si="169"/>
        <v>0.5</v>
      </c>
      <c r="O206" s="530">
        <f t="shared" si="141"/>
        <v>751.91700000000026</v>
      </c>
      <c r="P206" s="1483">
        <f t="shared" si="168"/>
        <v>2587.765580798919</v>
      </c>
      <c r="Q206" s="1366">
        <f t="shared" si="142"/>
        <v>50563.796968480696</v>
      </c>
      <c r="R206" s="1366">
        <f t="shared" si="166"/>
        <v>33441.841417083619</v>
      </c>
      <c r="S206" s="576">
        <f t="shared" si="143"/>
        <v>0.83696751364855315</v>
      </c>
      <c r="T206" s="135" t="str">
        <f t="shared" si="144"/>
        <v>Yes</v>
      </c>
      <c r="U206" s="1091">
        <f t="shared" si="145"/>
        <v>0.83696751364855315</v>
      </c>
      <c r="V206" s="1496">
        <f t="shared" si="136"/>
        <v>50761.440697670434</v>
      </c>
      <c r="W206" s="1493">
        <f t="shared" si="137"/>
        <v>0.39715603213077078</v>
      </c>
      <c r="X206" s="527">
        <f t="shared" si="146"/>
        <v>17121.955551397081</v>
      </c>
      <c r="Y206" s="1511">
        <f t="shared" si="147"/>
        <v>8332.9815591538136</v>
      </c>
      <c r="Z206" s="1533">
        <f t="shared" si="148"/>
        <v>3957.8175022111564</v>
      </c>
      <c r="AA206" s="1533">
        <f t="shared" si="149"/>
        <v>0</v>
      </c>
      <c r="AB206" s="1533">
        <f t="shared" si="150"/>
        <v>21348.686084908382</v>
      </c>
      <c r="AC206" s="1533">
        <f t="shared" si="151"/>
        <v>50761.440697670434</v>
      </c>
      <c r="AD206" s="1489">
        <f t="shared" si="152"/>
        <v>0</v>
      </c>
      <c r="AE206" s="649">
        <f t="shared" si="153"/>
        <v>0.33730239559932051</v>
      </c>
      <c r="AF206" s="417">
        <f t="shared" si="154"/>
        <v>0.16415967404834186</v>
      </c>
      <c r="AG206" s="417">
        <f t="shared" si="155"/>
        <v>7.7968975029362994E-2</v>
      </c>
      <c r="AH206" s="417">
        <f t="shared" si="167"/>
        <v>0</v>
      </c>
      <c r="AI206" s="417">
        <f t="shared" si="156"/>
        <v>0.42056895532297461</v>
      </c>
      <c r="AJ206" s="525">
        <f t="shared" si="157"/>
        <v>1</v>
      </c>
      <c r="AK206" s="1499">
        <f t="shared" si="158"/>
        <v>10607.835868745573</v>
      </c>
      <c r="AL206" s="1500">
        <f t="shared" si="159"/>
        <v>6172.9659559291949</v>
      </c>
      <c r="AM206" s="1500">
        <f t="shared" si="160"/>
        <v>341.15372672231274</v>
      </c>
      <c r="AN206" s="1500">
        <f t="shared" si="161"/>
        <v>17121.955551397081</v>
      </c>
      <c r="AO206" s="1186">
        <f t="shared" si="162"/>
        <v>0</v>
      </c>
    </row>
    <row r="207" spans="1:41">
      <c r="A207" s="127">
        <f>'Input data'!A147</f>
        <v>2047</v>
      </c>
      <c r="B207" s="1553">
        <f>'Input data'!B147</f>
        <v>74.373000000000005</v>
      </c>
      <c r="C207" s="1552">
        <f>'Input data'!C147</f>
        <v>6104.119999999999</v>
      </c>
      <c r="D207" s="1511">
        <f>'Input data'!E147</f>
        <v>11978813.898335585</v>
      </c>
      <c r="E207" s="1510">
        <f>'Input data'!J147*C207</f>
        <v>73367.673918776389</v>
      </c>
      <c r="F207" s="1511">
        <f>'Input data'!L147</f>
        <v>85346.487817111978</v>
      </c>
      <c r="G207" s="1511">
        <f t="shared" si="172"/>
        <v>16190.101088088571</v>
      </c>
      <c r="H207" s="1511">
        <f t="shared" si="135"/>
        <v>37150.337557070343</v>
      </c>
      <c r="I207" s="1513">
        <f t="shared" si="138"/>
        <v>11978.813898335586</v>
      </c>
      <c r="J207" s="1506">
        <f t="shared" si="170"/>
        <v>0.2</v>
      </c>
      <c r="K207" s="1514">
        <f t="shared" si="164"/>
        <v>1658.4938731722154</v>
      </c>
      <c r="L207" s="1514">
        <f t="shared" si="140"/>
        <v>0</v>
      </c>
      <c r="M207" s="530">
        <f t="shared" si="165"/>
        <v>1658.4938731722154</v>
      </c>
      <c r="N207" s="649">
        <f t="shared" si="169"/>
        <v>0.5</v>
      </c>
      <c r="O207" s="530">
        <f t="shared" si="141"/>
        <v>751.91700000000026</v>
      </c>
      <c r="P207" s="1483">
        <f t="shared" si="168"/>
        <v>2410.4108731722158</v>
      </c>
      <c r="Q207" s="1366">
        <f t="shared" si="142"/>
        <v>50930.027771986701</v>
      </c>
      <c r="R207" s="1366">
        <f t="shared" si="166"/>
        <v>34739.926683898128</v>
      </c>
      <c r="S207" s="576">
        <f t="shared" si="143"/>
        <v>0.84020476213247219</v>
      </c>
      <c r="T207" s="135" t="str">
        <f t="shared" si="144"/>
        <v>Yes</v>
      </c>
      <c r="U207" s="1091">
        <f t="shared" si="145"/>
        <v>0.84020476213247219</v>
      </c>
      <c r="V207" s="1496">
        <f t="shared" si="136"/>
        <v>50606.561133213858</v>
      </c>
      <c r="W207" s="1493">
        <f t="shared" si="137"/>
        <v>0.40704576805013837</v>
      </c>
      <c r="X207" s="527">
        <f t="shared" si="146"/>
        <v>16190.101088088575</v>
      </c>
      <c r="Y207" s="1511">
        <f t="shared" si="147"/>
        <v>8270.9097316987645</v>
      </c>
      <c r="Z207" s="1533">
        <f t="shared" si="148"/>
        <v>4067.3652769905207</v>
      </c>
      <c r="AA207" s="1533">
        <f t="shared" si="149"/>
        <v>0</v>
      </c>
      <c r="AB207" s="1533">
        <f t="shared" si="150"/>
        <v>22078.185036435996</v>
      </c>
      <c r="AC207" s="1533">
        <f t="shared" si="151"/>
        <v>50606.561133213858</v>
      </c>
      <c r="AD207" s="1489">
        <f t="shared" si="152"/>
        <v>0</v>
      </c>
      <c r="AE207" s="649">
        <f t="shared" si="153"/>
        <v>0.31992098900912602</v>
      </c>
      <c r="AF207" s="417">
        <f t="shared" si="154"/>
        <v>0.16343552192623578</v>
      </c>
      <c r="AG207" s="417">
        <f t="shared" si="155"/>
        <v>8.0372291377076924E-2</v>
      </c>
      <c r="AH207" s="417">
        <f t="shared" si="167"/>
        <v>0</v>
      </c>
      <c r="AI207" s="417">
        <f t="shared" si="156"/>
        <v>0.43627119768756123</v>
      </c>
      <c r="AJ207" s="525">
        <f t="shared" si="157"/>
        <v>1</v>
      </c>
      <c r="AK207" s="1499">
        <f t="shared" si="158"/>
        <v>9583.0511186684671</v>
      </c>
      <c r="AL207" s="1500">
        <f t="shared" si="159"/>
        <v>6257.1386721655645</v>
      </c>
      <c r="AM207" s="1500">
        <f t="shared" si="160"/>
        <v>349.91129725454044</v>
      </c>
      <c r="AN207" s="1500">
        <f t="shared" si="161"/>
        <v>16190.101088088573</v>
      </c>
      <c r="AO207" s="1186">
        <f t="shared" si="162"/>
        <v>0</v>
      </c>
    </row>
    <row r="208" spans="1:41">
      <c r="A208" s="127">
        <f>'Input data'!A148</f>
        <v>2048</v>
      </c>
      <c r="B208" s="1553">
        <f>'Input data'!B148</f>
        <v>74.753</v>
      </c>
      <c r="C208" s="1552">
        <f>'Input data'!C148</f>
        <v>6308.13</v>
      </c>
      <c r="D208" s="1511">
        <f>'Input data'!E148</f>
        <v>10697832.960739207</v>
      </c>
      <c r="E208" s="1510">
        <f>'Input data'!J148*C208</f>
        <v>75819.745496033996</v>
      </c>
      <c r="F208" s="1511">
        <f>'Input data'!L148</f>
        <v>86517.578456773204</v>
      </c>
      <c r="G208" s="1511">
        <f t="shared" si="172"/>
        <v>15308.962370313993</v>
      </c>
      <c r="H208" s="1511">
        <f t="shared" si="135"/>
        <v>38236.352946282335</v>
      </c>
      <c r="I208" s="1513">
        <f t="shared" si="138"/>
        <v>10697.832960739206</v>
      </c>
      <c r="J208" s="1506">
        <f t="shared" si="170"/>
        <v>0.2</v>
      </c>
      <c r="K208" s="1514">
        <f t="shared" si="164"/>
        <v>1481.1391655455122</v>
      </c>
      <c r="L208" s="1514">
        <f t="shared" si="140"/>
        <v>0</v>
      </c>
      <c r="M208" s="530">
        <f t="shared" si="165"/>
        <v>1481.1391655455122</v>
      </c>
      <c r="N208" s="649">
        <f t="shared" si="169"/>
        <v>0.5</v>
      </c>
      <c r="O208" s="530">
        <f t="shared" si="141"/>
        <v>751.91700000000026</v>
      </c>
      <c r="P208" s="1483">
        <f t="shared" si="168"/>
        <v>2233.0561655455126</v>
      </c>
      <c r="Q208" s="1366">
        <f t="shared" si="142"/>
        <v>51312.259151050821</v>
      </c>
      <c r="R208" s="1366">
        <f t="shared" si="166"/>
        <v>36003.296780736826</v>
      </c>
      <c r="S208" s="576">
        <f t="shared" si="143"/>
        <v>0.84210372967803337</v>
      </c>
      <c r="T208" s="135" t="str">
        <f t="shared" si="144"/>
        <v>Yes</v>
      </c>
      <c r="U208" s="1091">
        <f t="shared" si="145"/>
        <v>0.84210372967803337</v>
      </c>
      <c r="V208" s="1496">
        <f t="shared" si="136"/>
        <v>50514.281676036378</v>
      </c>
      <c r="W208" s="1493">
        <f t="shared" si="137"/>
        <v>0.41613851685325609</v>
      </c>
      <c r="X208" s="527">
        <f t="shared" si="146"/>
        <v>15308.962370313993</v>
      </c>
      <c r="Y208" s="1511">
        <f t="shared" si="147"/>
        <v>8211.0708781906142</v>
      </c>
      <c r="Z208" s="1533">
        <f t="shared" si="148"/>
        <v>4178.1731580591822</v>
      </c>
      <c r="AA208" s="1533">
        <f t="shared" si="149"/>
        <v>0</v>
      </c>
      <c r="AB208" s="1533">
        <f t="shared" si="150"/>
        <v>22816.075269472592</v>
      </c>
      <c r="AC208" s="1533">
        <f t="shared" si="151"/>
        <v>50514.281676036378</v>
      </c>
      <c r="AD208" s="1489">
        <f t="shared" si="152"/>
        <v>0</v>
      </c>
      <c r="AE208" s="649">
        <f t="shared" si="153"/>
        <v>0.30306206210146819</v>
      </c>
      <c r="AF208" s="417">
        <f t="shared" si="154"/>
        <v>0.16254949304932687</v>
      </c>
      <c r="AG208" s="417">
        <f t="shared" si="155"/>
        <v>8.271271053313381E-2</v>
      </c>
      <c r="AH208" s="417">
        <f t="shared" si="167"/>
        <v>0</v>
      </c>
      <c r="AI208" s="417">
        <f t="shared" si="156"/>
        <v>0.45167573431607122</v>
      </c>
      <c r="AJ208" s="525">
        <f t="shared" si="157"/>
        <v>1</v>
      </c>
      <c r="AK208" s="1499">
        <f t="shared" si="158"/>
        <v>8558.2663685913649</v>
      </c>
      <c r="AL208" s="1500">
        <f t="shared" si="159"/>
        <v>6389.4193279923611</v>
      </c>
      <c r="AM208" s="1500">
        <f t="shared" si="160"/>
        <v>361.27667373026611</v>
      </c>
      <c r="AN208" s="1500">
        <f t="shared" si="161"/>
        <v>15308.962370313991</v>
      </c>
      <c r="AO208" s="1186">
        <f t="shared" si="162"/>
        <v>0</v>
      </c>
    </row>
    <row r="209" spans="1:41">
      <c r="A209" s="127">
        <f>'Input data'!A149</f>
        <v>2049</v>
      </c>
      <c r="B209" s="1553">
        <f>'Input data'!B149</f>
        <v>75.134</v>
      </c>
      <c r="C209" s="1552">
        <f>'Input data'!C149</f>
        <v>6522.2000000000007</v>
      </c>
      <c r="D209" s="1511">
        <f>'Input data'!E149</f>
        <v>9416852.0231428221</v>
      </c>
      <c r="E209" s="1510">
        <f>'Input data'!J149*C209</f>
        <v>78392.731930735885</v>
      </c>
      <c r="F209" s="1511">
        <f>'Input data'!L149</f>
        <v>87809.583953878711</v>
      </c>
      <c r="G209" s="1511">
        <f t="shared" si="172"/>
        <v>14475.779217222871</v>
      </c>
      <c r="H209" s="1511">
        <f t="shared" si="135"/>
        <v>39343.794576894688</v>
      </c>
      <c r="I209" s="1513">
        <f t="shared" si="138"/>
        <v>9416.8520231428229</v>
      </c>
      <c r="J209" s="1506">
        <f t="shared" si="170"/>
        <v>0.2</v>
      </c>
      <c r="K209" s="1514">
        <f t="shared" si="164"/>
        <v>1303.7844579188088</v>
      </c>
      <c r="L209" s="1514">
        <f t="shared" si="140"/>
        <v>0</v>
      </c>
      <c r="M209" s="530">
        <f t="shared" si="165"/>
        <v>1303.7844579188088</v>
      </c>
      <c r="N209" s="649">
        <f t="shared" si="169"/>
        <v>0.5</v>
      </c>
      <c r="O209" s="530">
        <f t="shared" si="141"/>
        <v>751.91700000000026</v>
      </c>
      <c r="P209" s="1483">
        <f t="shared" si="168"/>
        <v>2055.701457918809</v>
      </c>
      <c r="Q209" s="1366">
        <f t="shared" si="142"/>
        <v>51763.87233619875</v>
      </c>
      <c r="R209" s="1366">
        <f t="shared" si="166"/>
        <v>37288.093118975878</v>
      </c>
      <c r="S209" s="576">
        <f t="shared" si="143"/>
        <v>0.84304236326963078</v>
      </c>
      <c r="T209" s="135" t="str">
        <f t="shared" si="144"/>
        <v>Yes</v>
      </c>
      <c r="U209" s="1091">
        <f t="shared" si="145"/>
        <v>0.84304236326963078</v>
      </c>
      <c r="V209" s="1496">
        <f t="shared" si="136"/>
        <v>50521.490834902841</v>
      </c>
      <c r="W209" s="1493">
        <f t="shared" si="137"/>
        <v>0.42464719043152677</v>
      </c>
      <c r="X209" s="527">
        <f t="shared" si="146"/>
        <v>14475.779217222876</v>
      </c>
      <c r="Y209" s="1511">
        <f t="shared" si="147"/>
        <v>8160.9146617108026</v>
      </c>
      <c r="Z209" s="1533">
        <f t="shared" si="148"/>
        <v>4294.4451207098782</v>
      </c>
      <c r="AA209" s="1533">
        <f t="shared" si="149"/>
        <v>0</v>
      </c>
      <c r="AB209" s="1533">
        <f t="shared" si="150"/>
        <v>23590.351835259287</v>
      </c>
      <c r="AC209" s="1533">
        <f t="shared" si="151"/>
        <v>50521.490834902841</v>
      </c>
      <c r="AD209" s="1489">
        <f t="shared" si="152"/>
        <v>0</v>
      </c>
      <c r="AE209" s="649">
        <f t="shared" si="153"/>
        <v>0.28652715860123162</v>
      </c>
      <c r="AF209" s="417">
        <f t="shared" si="154"/>
        <v>0.16153352814507255</v>
      </c>
      <c r="AG209" s="417">
        <f t="shared" si="155"/>
        <v>8.5002343552044488E-2</v>
      </c>
      <c r="AH209" s="417">
        <f t="shared" si="167"/>
        <v>0</v>
      </c>
      <c r="AI209" s="417">
        <f t="shared" si="156"/>
        <v>0.46693696970165144</v>
      </c>
      <c r="AJ209" s="525">
        <f t="shared" si="157"/>
        <v>1</v>
      </c>
      <c r="AK209" s="1499">
        <f t="shared" si="158"/>
        <v>7533.4816185142581</v>
      </c>
      <c r="AL209" s="1500">
        <f t="shared" si="159"/>
        <v>6566.9762831888329</v>
      </c>
      <c r="AM209" s="1500">
        <f t="shared" si="160"/>
        <v>375.32131551978239</v>
      </c>
      <c r="AN209" s="1500">
        <f t="shared" si="161"/>
        <v>14475.779217222875</v>
      </c>
      <c r="AO209" s="1186">
        <f t="shared" si="162"/>
        <v>0</v>
      </c>
    </row>
    <row r="210" spans="1:41" ht="15" thickBot="1">
      <c r="A210" s="172">
        <f>'Input data'!A150</f>
        <v>2050</v>
      </c>
      <c r="B210" s="664">
        <f>'Input data'!B150</f>
        <v>75.518000000000001</v>
      </c>
      <c r="C210" s="239">
        <f>'Input data'!C150</f>
        <v>6747.1300000000019</v>
      </c>
      <c r="D210" s="667">
        <f>'Input data'!E150</f>
        <v>8135871.0855464395</v>
      </c>
      <c r="E210" s="670">
        <f>'Input data'!J150*C210</f>
        <v>81096.248718503892</v>
      </c>
      <c r="F210" s="667">
        <f>'Input data'!L150</f>
        <v>89232.119804050337</v>
      </c>
      <c r="G210" s="667">
        <f>G177*(1-$C$6)</f>
        <v>13687.941669523079</v>
      </c>
      <c r="H210" s="667">
        <f t="shared" si="135"/>
        <v>40480.789848047149</v>
      </c>
      <c r="I210" s="659">
        <f t="shared" si="138"/>
        <v>8135.8710855464396</v>
      </c>
      <c r="J210" s="651">
        <f t="shared" si="170"/>
        <v>0.2</v>
      </c>
      <c r="K210" s="667">
        <f t="shared" si="164"/>
        <v>1126.4297502921052</v>
      </c>
      <c r="L210" s="667">
        <f t="shared" si="140"/>
        <v>0</v>
      </c>
      <c r="M210" s="659">
        <f t="shared" si="165"/>
        <v>1126.4297502921052</v>
      </c>
      <c r="N210" s="650">
        <f t="shared" si="169"/>
        <v>0.5</v>
      </c>
      <c r="O210" s="659">
        <f t="shared" si="141"/>
        <v>751.91700000000026</v>
      </c>
      <c r="P210" s="1484">
        <f t="shared" si="168"/>
        <v>1878.3467502921053</v>
      </c>
      <c r="Q210" s="1487">
        <f t="shared" si="142"/>
        <v>52290.384767278127</v>
      </c>
      <c r="R210" s="1487">
        <f t="shared" si="166"/>
        <v>38602.443097755051</v>
      </c>
      <c r="S210" s="578">
        <f t="shared" si="143"/>
        <v>0.84318523124465938</v>
      </c>
      <c r="T210" s="1105" t="str">
        <f t="shared" si="144"/>
        <v>Yes</v>
      </c>
      <c r="U210" s="1094">
        <f t="shared" si="145"/>
        <v>0.84318523124465938</v>
      </c>
      <c r="V210" s="1497">
        <f t="shared" si="136"/>
        <v>50629.676706295286</v>
      </c>
      <c r="W210" s="1494">
        <f t="shared" si="137"/>
        <v>0.4326070386148424</v>
      </c>
      <c r="X210" s="670">
        <f t="shared" si="146"/>
        <v>13687.941669523076</v>
      </c>
      <c r="Y210" s="1520">
        <f t="shared" si="147"/>
        <v>8121.2110732755027</v>
      </c>
      <c r="Z210" s="1534">
        <f t="shared" si="148"/>
        <v>4416.6156843527096</v>
      </c>
      <c r="AA210" s="1534">
        <f t="shared" si="149"/>
        <v>0</v>
      </c>
      <c r="AB210" s="1534">
        <f t="shared" si="150"/>
        <v>24403.908279144001</v>
      </c>
      <c r="AC210" s="1534">
        <f t="shared" si="151"/>
        <v>50629.676706295286</v>
      </c>
      <c r="AD210" s="1490">
        <f t="shared" si="152"/>
        <v>0</v>
      </c>
      <c r="AE210" s="650">
        <f t="shared" si="153"/>
        <v>0.27035411955970717</v>
      </c>
      <c r="AF210" s="651">
        <f t="shared" si="154"/>
        <v>0.16040416612547148</v>
      </c>
      <c r="AG210" s="651">
        <f t="shared" si="155"/>
        <v>8.7233732697399355E-2</v>
      </c>
      <c r="AH210" s="651">
        <f t="shared" si="167"/>
        <v>0</v>
      </c>
      <c r="AI210" s="651">
        <f>AB210/AC210</f>
        <v>0.48200798161742209</v>
      </c>
      <c r="AJ210" s="652">
        <f t="shared" si="157"/>
        <v>1</v>
      </c>
      <c r="AK210" s="1501">
        <f t="shared" si="158"/>
        <v>6508.6968684371514</v>
      </c>
      <c r="AL210" s="1502">
        <f t="shared" si="159"/>
        <v>6787.2668544011776</v>
      </c>
      <c r="AM210" s="1502">
        <f t="shared" si="160"/>
        <v>391.97794668474421</v>
      </c>
      <c r="AN210" s="1502">
        <f t="shared" si="161"/>
        <v>13687.941669523074</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4.4"/>
  <cols>
    <col min="1" max="1" width="55.33203125" customWidth="1"/>
    <col min="2" max="2" width="33.77734375" customWidth="1"/>
    <col min="3" max="3" width="22.5546875" customWidth="1"/>
    <col min="4" max="4" width="31.33203125" customWidth="1"/>
    <col min="5" max="5" width="25.109375" customWidth="1"/>
    <col min="6" max="6" width="28.109375" customWidth="1"/>
    <col min="7" max="7" width="26.2187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2187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c r="J1" s="99"/>
      <c r="K1" s="99"/>
    </row>
    <row r="2" spans="1:11" ht="15" thickBot="1">
      <c r="A2" s="2" t="s">
        <v>543</v>
      </c>
      <c r="B2" s="413" t="s">
        <v>555</v>
      </c>
      <c r="J2" s="99"/>
      <c r="K2" s="99"/>
    </row>
    <row r="3" spans="1:11" ht="15" thickBot="1">
      <c r="A3" s="2"/>
      <c r="C3" s="679" t="s">
        <v>551</v>
      </c>
      <c r="D3" s="581" t="s">
        <v>558</v>
      </c>
      <c r="E3" s="679" t="s">
        <v>552</v>
      </c>
      <c r="F3" s="581" t="s">
        <v>558</v>
      </c>
      <c r="G3" s="679" t="s">
        <v>553</v>
      </c>
      <c r="H3" s="581" t="s">
        <v>558</v>
      </c>
      <c r="J3" s="99"/>
      <c r="K3" s="99"/>
    </row>
    <row r="4" spans="1:11">
      <c r="A4" s="1816" t="s">
        <v>556</v>
      </c>
      <c r="B4" s="1802" t="s">
        <v>557</v>
      </c>
      <c r="C4" s="579">
        <v>0.5</v>
      </c>
      <c r="D4" s="116">
        <f>2017+10</f>
        <v>2027</v>
      </c>
      <c r="E4" s="579">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 thickBot="1">
      <c r="A6" s="1818"/>
      <c r="B6" s="1804"/>
      <c r="C6" s="577">
        <v>0.8</v>
      </c>
      <c r="D6" s="140">
        <f>2017+30</f>
        <v>2047</v>
      </c>
      <c r="E6" s="577">
        <f t="shared" si="0"/>
        <v>0.8</v>
      </c>
      <c r="F6" s="140">
        <f>15+2017</f>
        <v>2032</v>
      </c>
      <c r="G6" s="577">
        <f t="shared" si="1"/>
        <v>0.8</v>
      </c>
      <c r="H6" s="140">
        <f t="shared" si="1"/>
        <v>2032</v>
      </c>
      <c r="J6" s="99"/>
      <c r="K6" s="99"/>
    </row>
    <row r="7" spans="1:11" ht="15" thickBot="1">
      <c r="A7" s="681"/>
      <c r="B7" s="68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1.8" thickBot="1">
      <c r="A9" s="1861"/>
      <c r="B9" s="452" t="s">
        <v>473</v>
      </c>
      <c r="C9" s="287" t="s">
        <v>490</v>
      </c>
      <c r="D9" s="287" t="s">
        <v>377</v>
      </c>
      <c r="E9" s="287" t="s">
        <v>477</v>
      </c>
      <c r="F9" s="453" t="s">
        <v>303</v>
      </c>
      <c r="G9" s="452" t="s">
        <v>493</v>
      </c>
      <c r="H9" s="287" t="s">
        <v>494</v>
      </c>
      <c r="I9" s="453" t="s">
        <v>303</v>
      </c>
      <c r="J9" s="327"/>
      <c r="K9" s="99"/>
    </row>
    <row r="10" spans="1:11" ht="15.6">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6">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6">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2"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6">
      <c r="A14" s="470"/>
      <c r="C14" s="624"/>
      <c r="E14" s="624"/>
      <c r="F14" s="624"/>
      <c r="G14" s="436"/>
      <c r="J14" s="99"/>
      <c r="K14" s="99">
        <v>0.21707953063885269</v>
      </c>
    </row>
    <row r="15" spans="1:11" ht="15.6" customHeight="1" thickBot="1">
      <c r="B15" s="413" t="s">
        <v>554</v>
      </c>
      <c r="J15" s="99"/>
      <c r="K15" s="99">
        <v>0.71200000000000008</v>
      </c>
    </row>
    <row r="16" spans="1:11" ht="1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 thickBot="1">
      <c r="A24" s="583"/>
      <c r="B24" s="413" t="s">
        <v>559</v>
      </c>
      <c r="C24" s="58"/>
      <c r="D24" s="58"/>
      <c r="E24" s="576"/>
    </row>
    <row r="25" spans="1:11" ht="15" thickBot="1">
      <c r="A25" s="584"/>
      <c r="B25" s="588"/>
      <c r="C25" s="592" t="s">
        <v>551</v>
      </c>
      <c r="D25" s="593" t="s">
        <v>558</v>
      </c>
      <c r="E25" s="679" t="s">
        <v>552</v>
      </c>
      <c r="F25" s="581" t="s">
        <v>558</v>
      </c>
      <c r="G25" s="680"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 thickBot="1">
      <c r="A27" s="1818"/>
      <c r="B27" s="1804"/>
      <c r="C27" s="577">
        <v>0.5</v>
      </c>
      <c r="D27" s="163">
        <f>2017+10</f>
        <v>2027</v>
      </c>
      <c r="E27" s="1831"/>
      <c r="F27" s="1833"/>
      <c r="G27" s="1859"/>
      <c r="H27" s="1833"/>
    </row>
    <row r="28" spans="1:11" ht="15" thickBot="1">
      <c r="A28" s="681"/>
      <c r="B28" s="681"/>
      <c r="C28" s="576"/>
      <c r="D28" s="104"/>
      <c r="E28" s="576"/>
      <c r="F28" s="104"/>
      <c r="G28" s="576"/>
      <c r="H28" s="104"/>
    </row>
    <row r="29" spans="1:11">
      <c r="A29" s="594"/>
      <c r="B29" s="600"/>
      <c r="C29" s="1827" t="s">
        <v>551</v>
      </c>
      <c r="D29" s="1828"/>
      <c r="E29" s="1827" t="s">
        <v>552</v>
      </c>
      <c r="F29" s="1828"/>
      <c r="G29" s="1829" t="s">
        <v>553</v>
      </c>
      <c r="H29" s="1828"/>
    </row>
    <row r="30" spans="1:11" ht="15" thickBot="1">
      <c r="A30" s="596"/>
      <c r="B30" s="601"/>
      <c r="C30" s="597" t="s">
        <v>562</v>
      </c>
      <c r="D30" s="598" t="s">
        <v>176</v>
      </c>
      <c r="E30" s="597" t="s">
        <v>562</v>
      </c>
      <c r="F30" s="598" t="s">
        <v>176</v>
      </c>
      <c r="G30" s="599" t="s">
        <v>562</v>
      </c>
      <c r="H30" s="598" t="s">
        <v>176</v>
      </c>
    </row>
    <row r="31" spans="1:11" ht="15" thickBot="1">
      <c r="A31" s="602" t="s">
        <v>561</v>
      </c>
      <c r="B31" s="603" t="s">
        <v>557</v>
      </c>
      <c r="C31" s="577">
        <v>0.1</v>
      </c>
      <c r="D31" s="587">
        <v>0.9</v>
      </c>
      <c r="E31" s="577">
        <v>0.1</v>
      </c>
      <c r="F31" s="587">
        <v>0.9</v>
      </c>
      <c r="G31" s="578">
        <v>0.5</v>
      </c>
      <c r="H31" s="587">
        <v>0.5</v>
      </c>
    </row>
    <row r="32" spans="1:11">
      <c r="A32" s="583"/>
      <c r="B32" s="58"/>
      <c r="C32" s="58"/>
      <c r="D32" s="58"/>
      <c r="E32" s="576"/>
    </row>
    <row r="33" spans="1:24" ht="15" thickBot="1">
      <c r="A33" s="583"/>
      <c r="B33" s="413" t="s">
        <v>563</v>
      </c>
      <c r="C33" s="58"/>
      <c r="D33" s="58"/>
      <c r="E33" s="576"/>
    </row>
    <row r="34" spans="1:24" ht="28.95"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 thickBot="1">
      <c r="A39" s="1009" t="s">
        <v>553</v>
      </c>
      <c r="B39" s="991">
        <v>2030</v>
      </c>
      <c r="C39" s="609">
        <f>C37</f>
        <v>0</v>
      </c>
      <c r="D39" s="606">
        <f>D37</f>
        <v>0</v>
      </c>
      <c r="E39" s="606">
        <v>1</v>
      </c>
      <c r="F39" s="606">
        <v>0</v>
      </c>
      <c r="G39" s="607">
        <v>0</v>
      </c>
    </row>
    <row r="40" spans="1:24">
      <c r="A40" s="2"/>
    </row>
    <row r="41" spans="1:24" ht="15" thickBot="1">
      <c r="A41" s="2"/>
      <c r="B41" s="413" t="s">
        <v>567</v>
      </c>
    </row>
    <row r="42" spans="1:24" ht="1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29.4"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6">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2"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2"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6">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6">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6">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6">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6">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6">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6">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2"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6">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6">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6">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6">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6">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6">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6">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6">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6">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2"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6">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2"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6">
      <c r="A81" s="99"/>
      <c r="B81" s="99"/>
      <c r="C81" s="1334"/>
      <c r="D81" s="1334"/>
      <c r="E81" s="1334"/>
      <c r="F81" s="1334"/>
      <c r="G81" s="1334"/>
      <c r="H81" s="1334"/>
      <c r="L81" s="1396"/>
      <c r="M81" s="1396"/>
      <c r="N81" s="1396"/>
      <c r="O81" s="1334"/>
      <c r="P81" s="1334"/>
      <c r="Q81" s="7"/>
      <c r="R81" s="1397"/>
      <c r="S81" s="1397"/>
      <c r="Y81" s="1398"/>
    </row>
    <row r="82" spans="1:91" ht="16.2"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6">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6">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6">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2"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6">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8">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6">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4">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V93" s="740"/>
      <c r="CG93" s="1" t="s">
        <v>552</v>
      </c>
    </row>
    <row r="94" spans="1:91" ht="34.950000000000003"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932" t="s">
        <v>646</v>
      </c>
      <c r="BW94" s="1933"/>
      <c r="BX94" s="1934"/>
      <c r="BY94" s="1932" t="s">
        <v>650</v>
      </c>
      <c r="BZ94" s="1933"/>
      <c r="CA94" s="1934"/>
      <c r="CB94" s="1930" t="s">
        <v>647</v>
      </c>
      <c r="CC94" s="1931"/>
      <c r="CD94" s="1908" t="s">
        <v>651</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1" t="s">
        <v>743</v>
      </c>
    </row>
    <row r="96" spans="1:91" ht="29.4"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1"/>
    </row>
    <row r="97" spans="1:91">
      <c r="A97" s="127">
        <f>'Input data'!A117</f>
        <v>2017</v>
      </c>
      <c r="B97" s="662">
        <f>'Input data'!B117</f>
        <v>56.521999999999998</v>
      </c>
      <c r="C97" s="236">
        <f>'Input data'!C117</f>
        <v>3120.54</v>
      </c>
      <c r="D97" s="236">
        <f>'Input data'!D117</f>
        <v>49995051</v>
      </c>
      <c r="E97" s="708">
        <f>'Input data'!F117</f>
        <v>0.71479999999999999</v>
      </c>
      <c r="F97" s="647">
        <f>'Input data'!G117</f>
        <v>0.28959999999999997</v>
      </c>
      <c r="G97" s="1702">
        <f>'Input data'!H117</f>
        <v>501</v>
      </c>
      <c r="H97" s="529">
        <f>'Input data'!I117</f>
        <v>424.26313389388866</v>
      </c>
      <c r="I97" s="528">
        <f>'Input data'!K117</f>
        <v>23980.200853950373</v>
      </c>
      <c r="J97" s="957">
        <f>I97*B10</f>
        <v>11144.041726220405</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11144.041726220405</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424.26313389388878</v>
      </c>
      <c r="AG97" s="527">
        <f>J97</f>
        <v>11144.041726220405</v>
      </c>
      <c r="AH97" s="528">
        <f>V97+I97*$C$10*$G$10</f>
        <v>6573.322273428581</v>
      </c>
      <c r="AI97" s="528">
        <f>($C$10*$H$10*$I$97+X97)</f>
        <v>3350.003081988611</v>
      </c>
      <c r="AJ97" s="528">
        <f t="shared" ref="AJ97:AJ130" si="12">I97*$D$10*(1-AD97)</f>
        <v>2912.8337723127793</v>
      </c>
      <c r="AK97" s="528">
        <f>SUM(AG97:AJ97)</f>
        <v>23980.20085395038</v>
      </c>
      <c r="AL97" s="716">
        <f t="shared" ref="AL97:AL130" si="13">AG97-(I97*$B$10-Y97)*(1-AD97)</f>
        <v>0</v>
      </c>
      <c r="AM97" s="417">
        <f>AG97/AK97</f>
        <v>0.46471844811027052</v>
      </c>
      <c r="AN97" s="417">
        <f>AH97/AK97</f>
        <v>0.274114562820508</v>
      </c>
      <c r="AO97" s="417">
        <f>AI97/AK97</f>
        <v>0.13969870821314442</v>
      </c>
      <c r="AP97" s="417">
        <f>AJ97/AK97</f>
        <v>0.12146828085607687</v>
      </c>
      <c r="AQ97" s="417">
        <f>SUM(AM97:AP97)</f>
        <v>0.99999999999999989</v>
      </c>
      <c r="AR97" s="1475">
        <f t="shared" ref="AR97:AR130" si="14">(I97*$C$76*$B$10-$C$66/($D$66+$C$66)*X97)*(1-AD97)</f>
        <v>2674.7146867156812</v>
      </c>
      <c r="AS97" s="1375">
        <f t="shared" ref="AS97:AS130" si="15">(I97*$D$76*$B$10-$D$66/($D$66+$C$66)*X97)*(1-AD97)</f>
        <v>3392.2618310106586</v>
      </c>
      <c r="AT97" s="1375">
        <f t="shared" ref="AT97:AT130" si="16">(I97*$B$10*$E$76-(Q97))*(1-AD97)</f>
        <v>657.47885516966164</v>
      </c>
      <c r="AU97" s="1375">
        <f t="shared" ref="AU97:AU130" si="17">I97*$F$76*(1-AD97)*$B$10</f>
        <v>0</v>
      </c>
      <c r="AV97" s="1375">
        <f t="shared" ref="AV97:AV130" si="18">I97*$G$76*(1-AD97)*$B$10</f>
        <v>0</v>
      </c>
      <c r="AW97" s="1375">
        <f t="shared" ref="AW97:AW130" si="19">I97*$G$76*(1-AD97)*$B$10</f>
        <v>0</v>
      </c>
      <c r="AX97" s="1375">
        <f t="shared" ref="AX97:AX130" si="20">I97*$I$76*(1-AD97)*$AM$97</f>
        <v>2798.4521345640801</v>
      </c>
      <c r="AY97" s="1375">
        <f t="shared" ref="AY97:AY130" si="21">(I97*$J$76*$B$10-R97)*(1-AD97)</f>
        <v>404.59237402326602</v>
      </c>
      <c r="AZ97" s="1375">
        <f t="shared" ref="AZ97:AZ130" si="22">(I97*$K$76*$B$10-S97)*(1-AD97)</f>
        <v>588.07292715063488</v>
      </c>
      <c r="BA97" s="1375">
        <f t="shared" ref="BA97:BA130" si="23">(I97*$L$76*$B$10-T97)*(1-AD97)</f>
        <v>516.96278580125113</v>
      </c>
      <c r="BB97" s="1375">
        <f t="shared" ref="BB97:BB130" si="24">(I97*$M$76*$B$10-U97)*(1-AD97)</f>
        <v>111.50613178516774</v>
      </c>
      <c r="BC97" s="1469">
        <f>SUM(AR97:BB97)</f>
        <v>11144.041726220403</v>
      </c>
      <c r="BD97" s="1158">
        <f>BC97-AG97</f>
        <v>0</v>
      </c>
      <c r="BE97" s="436">
        <f>AR97/BC97</f>
        <v>0.24001298204245269</v>
      </c>
      <c r="BF97" s="624">
        <f>AS97/BC97</f>
        <v>0.30440139352934503</v>
      </c>
      <c r="BG97" s="624">
        <f>AT97/BC97</f>
        <v>5.8998240613430585E-2</v>
      </c>
      <c r="BH97" s="624">
        <f>AU97/BC97</f>
        <v>0</v>
      </c>
      <c r="BI97" s="624">
        <f>AV97/BC97</f>
        <v>0</v>
      </c>
      <c r="BJ97" s="624">
        <f>AW97/BC97</f>
        <v>0</v>
      </c>
      <c r="BK97" s="624">
        <f>SUM(AX97:BB97)/BC97</f>
        <v>0.39658738381477154</v>
      </c>
      <c r="BL97" s="624">
        <f>SUM(BE97:BK97)</f>
        <v>0.99999999999999989</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111.48217523856577</v>
      </c>
      <c r="BW97" s="647">
        <f>((AK97-AM97*AK97)+(AC137-AC137*AE137))/(AK97+AC137)</f>
        <v>0.28613027236389205</v>
      </c>
      <c r="BX97" s="1694">
        <f t="shared" ref="BX97:BX130" si="25">D137/10^6</f>
        <v>49.995050999999997</v>
      </c>
      <c r="BY97" s="956">
        <f>(AK97+AC177)*1000/10^6</f>
        <v>111.48217523856577</v>
      </c>
      <c r="BZ97" s="647">
        <f>((AK97-AM97*AK97)+(AC177-AC177*AE177))/(AK97+AC177)</f>
        <v>0.28613027236389205</v>
      </c>
      <c r="CA97" s="677">
        <f t="shared" ref="CA97:CA130" si="26">D177/10^6</f>
        <v>49.995050999999997</v>
      </c>
      <c r="CB97" s="708">
        <f t="shared" ref="CB97:CB130" si="27">AE97</f>
        <v>0</v>
      </c>
      <c r="CC97" s="715">
        <f>W177</f>
        <v>0</v>
      </c>
      <c r="CD97" s="647">
        <f t="shared" ref="CD97:CD130" si="28">AE97</f>
        <v>0</v>
      </c>
      <c r="CE97" s="715">
        <f>W177</f>
        <v>0</v>
      </c>
      <c r="CG97" s="956">
        <f>$I97*$E$75*$L97</f>
        <v>1241.0306217429022</v>
      </c>
      <c r="CH97" s="957">
        <f>$I97*$J$75*M97</f>
        <v>480.37443994244501</v>
      </c>
      <c r="CI97" s="957">
        <f>$I97*$K$75*N97</f>
        <v>1987.1959642118491</v>
      </c>
      <c r="CJ97" s="957">
        <f>$I97*$L$75*O97</f>
        <v>2826.4498003218146</v>
      </c>
      <c r="CK97" s="957">
        <f>$I97*$M$75*P97</f>
        <v>38.271447209568926</v>
      </c>
      <c r="CL97" s="957">
        <f>SUM(CG97:CK97)</f>
        <v>6573.3222734285791</v>
      </c>
      <c r="CM97" s="1130">
        <f>AH97-CL97</f>
        <v>0</v>
      </c>
    </row>
    <row r="98" spans="1:91">
      <c r="A98" s="127">
        <f>'Input data'!A118</f>
        <v>2018</v>
      </c>
      <c r="B98" s="662">
        <f>'Input data'!B118</f>
        <v>57.436</v>
      </c>
      <c r="C98" s="236">
        <f>'Input data'!C118</f>
        <v>3152.24</v>
      </c>
      <c r="D98" s="236">
        <f>'Input data'!D118</f>
        <v>50172070.130067617</v>
      </c>
      <c r="E98" s="649">
        <f>($E$110-$E$97)/($A$110-$A$97)+E97</f>
        <v>0.73673846153846156</v>
      </c>
      <c r="F98" s="417">
        <f>($F$110-$F$97)/($A$110-$A$97)+F97</f>
        <v>0.29557307692307688</v>
      </c>
      <c r="G98" s="530">
        <f>B98*F98*'Input data'!$C$9</f>
        <v>519.60187202830946</v>
      </c>
      <c r="H98" s="529">
        <f>'Input data'!I118</f>
        <v>424.26313389388866</v>
      </c>
      <c r="I98" s="528">
        <f>'Input data'!K118</f>
        <v>24367.97735832939</v>
      </c>
      <c r="J98" s="528">
        <f>J97*0.94</f>
        <v>10475.39922264718</v>
      </c>
      <c r="K98" s="530">
        <f>I98*$B$10-J98</f>
        <v>848.84939890186615</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20.070540300992661</v>
      </c>
      <c r="R98" s="528">
        <f t="shared" ref="R98:R130" si="32">H98*$J$75*M98*B98-H98*$J$75*$M$97*B98</f>
        <v>14.005846825095261</v>
      </c>
      <c r="S98" s="528">
        <f t="shared" ref="S98:S130" si="33">H98*$K$75*N98*B98-H98*$K$75*$N$97*B98</f>
        <v>41.014919728995665</v>
      </c>
      <c r="T98" s="528">
        <f t="shared" ref="T98:T130" si="34">H98*$L$75*O98*B98-H98*$L$75*$O$97*B98</f>
        <v>27.616879392653573</v>
      </c>
      <c r="U98" s="530">
        <f t="shared" ref="U98:U130" si="35">H98*$M$75*P98*B98-H98*$M$75*$P$97*B98</f>
        <v>0</v>
      </c>
      <c r="V98" s="528">
        <f t="shared" si="9"/>
        <v>102.70818624773716</v>
      </c>
      <c r="W98" s="649">
        <v>0.05</v>
      </c>
      <c r="X98" s="530">
        <f t="shared" ref="X98:X130" si="36">W98*($C$76+$D$76)*$B$10*$I$97</f>
        <v>303.348825886317</v>
      </c>
      <c r="Y98" s="528">
        <f>X98+V98</f>
        <v>406.05701213405416</v>
      </c>
      <c r="Z98" s="528">
        <f>I98*$B$10-Y98</f>
        <v>10918.191609414993</v>
      </c>
      <c r="AA98" s="530">
        <f>Z98-J98</f>
        <v>442.79238676781279</v>
      </c>
      <c r="AB98" s="1091">
        <f t="shared" ref="AB98:AB130" si="37">AA98/Z98</f>
        <v>4.0555469496064103E-2</v>
      </c>
      <c r="AC98" s="135" t="str">
        <f t="shared" ref="AC98:AC130" si="38">IF(AND(AB98&gt;=0,AB98&lt;=1),"Yes","No")</f>
        <v>Yes</v>
      </c>
      <c r="AD98" s="1091">
        <f t="shared" ref="AD98:AD130" si="39">IF(AB98&lt;=0,0,IF(AB98&gt;=1,1,AB98))</f>
        <v>4.0555469496064103E-2</v>
      </c>
      <c r="AE98" s="649">
        <f t="shared" si="10"/>
        <v>2.3097279906837076E-2</v>
      </c>
      <c r="AF98" s="530">
        <f t="shared" si="11"/>
        <v>414.46380953618961</v>
      </c>
      <c r="AG98" s="527">
        <f t="shared" ref="AG98:AG130" si="40">J98</f>
        <v>10475.39922264718</v>
      </c>
      <c r="AH98" s="528">
        <f>IF(V98+I98*$C$10*$G$10&lt;AH97,AH97,V98+I98*$C$10*$G$10)</f>
        <v>6782.3256466462362</v>
      </c>
      <c r="AI98" s="528">
        <f>IF(($C$10*$H$10*$I$98+X98)&lt;AI97,AI97,($C$10*$H$10*$I$98+X98))</f>
        <v>3707.5237846120858</v>
      </c>
      <c r="AJ98" s="528">
        <f t="shared" si="12"/>
        <v>2839.8947106150845</v>
      </c>
      <c r="AK98" s="528">
        <f t="shared" ref="AK98:AK130" si="41">SUM(AG98:AJ98)</f>
        <v>23805.143364520587</v>
      </c>
      <c r="AL98" s="716">
        <f t="shared" si="13"/>
        <v>0</v>
      </c>
      <c r="AM98" s="417">
        <f t="shared" ref="AM98:AM130" si="42">AG98/AK98</f>
        <v>0.4400477267555471</v>
      </c>
      <c r="AN98" s="417">
        <f t="shared" ref="AN98:AN130" si="43">AH98/AK98</f>
        <v>0.28491009454514266</v>
      </c>
      <c r="AO98" s="417">
        <f t="shared" ref="AO98:AO130" si="44">AI98/AK98</f>
        <v>0.1557446526508979</v>
      </c>
      <c r="AP98" s="417">
        <f t="shared" ref="AP98:AP130" si="45">AJ98/AK98</f>
        <v>0.11929752604841232</v>
      </c>
      <c r="AQ98" s="417">
        <f t="shared" ref="AQ98:AQ130" si="46">SUM(AM98:AP98)</f>
        <v>1</v>
      </c>
      <c r="AR98" s="1086">
        <f t="shared" si="14"/>
        <v>2479.4262473821595</v>
      </c>
      <c r="AS98" s="938">
        <f t="shared" si="15"/>
        <v>3144.5832572625927</v>
      </c>
      <c r="AT98" s="938">
        <f t="shared" si="16"/>
        <v>621.75862988798849</v>
      </c>
      <c r="AU98" s="938">
        <f t="shared" si="17"/>
        <v>0</v>
      </c>
      <c r="AV98" s="938">
        <f t="shared" si="18"/>
        <v>0</v>
      </c>
      <c r="AW98" s="938">
        <f t="shared" si="19"/>
        <v>0</v>
      </c>
      <c r="AX98" s="938">
        <f t="shared" si="20"/>
        <v>2728.3772559900963</v>
      </c>
      <c r="AY98" s="938">
        <f t="shared" si="21"/>
        <v>381.0233111554337</v>
      </c>
      <c r="AZ98" s="938">
        <f t="shared" si="22"/>
        <v>533.99569662277338</v>
      </c>
      <c r="BA98" s="938">
        <f t="shared" si="23"/>
        <v>477.52087133314774</v>
      </c>
      <c r="BB98" s="938">
        <f t="shared" si="24"/>
        <v>108.71395301298466</v>
      </c>
      <c r="BC98" s="530">
        <f t="shared" ref="BC98:BC130" si="47">SUM(AR98:BB98)</f>
        <v>10475.399222647176</v>
      </c>
      <c r="BD98" s="724">
        <f t="shared" ref="BD98:BD130" si="48">BC98-AG98</f>
        <v>0</v>
      </c>
      <c r="BE98" s="436">
        <f t="shared" ref="BE98:BE130" si="49">AR98/BC98</f>
        <v>0.23669038236001458</v>
      </c>
      <c r="BF98" s="624">
        <f t="shared" ref="BF98:BF129" si="50">AS98/BC98</f>
        <v>0.30018743824714528</v>
      </c>
      <c r="BG98" s="624">
        <f t="shared" ref="BG98:BG130" si="51">AT98/BC98</f>
        <v>5.9354170344532942E-2</v>
      </c>
      <c r="BH98" s="624">
        <f t="shared" ref="BH98:BH130" si="52">AU98/BC98</f>
        <v>0</v>
      </c>
      <c r="BI98" s="624">
        <f t="shared" ref="BI98:BI130" si="53">AV98/BC98</f>
        <v>0</v>
      </c>
      <c r="BJ98" s="624">
        <f t="shared" ref="BJ98:BJ130" si="54">AW98/BC98</f>
        <v>0</v>
      </c>
      <c r="BK98" s="624">
        <f t="shared" ref="BK98:BK130" si="55">SUM(AX98:BB98)/BC98</f>
        <v>0.40376800904830723</v>
      </c>
      <c r="BL98" s="624">
        <f t="shared" ref="BL98:BL130" si="56">SUM(BE98:BK98)</f>
        <v>1</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108.7554268120047</v>
      </c>
      <c r="BW98" s="114">
        <f t="shared" ref="BW98:BW130" si="59">((AK98-AM98*AK98)+(AC138-AC138*AE138))/(AK98+AC138)</f>
        <v>0.31213800301919209</v>
      </c>
      <c r="BX98" s="1695">
        <f t="shared" si="25"/>
        <v>50.172070130067617</v>
      </c>
      <c r="BY98" s="527">
        <f t="shared" ref="BY98:BY130" si="60">(AK98+AC178)*1000/10^6</f>
        <v>108.7554268120047</v>
      </c>
      <c r="BZ98" s="417">
        <f t="shared" ref="BZ98:BZ130" si="61">((AK98-AM98*AK98)+(AC178-AC178*AE178))/(AK98+AC178)</f>
        <v>0.31213800301919209</v>
      </c>
      <c r="CA98" s="544">
        <f t="shared" si="26"/>
        <v>50.172070130067617</v>
      </c>
      <c r="CB98" s="649">
        <f t="shared" si="27"/>
        <v>2.3097279906837076E-2</v>
      </c>
      <c r="CC98" s="525">
        <f t="shared" ref="CC98:CC130" si="62">W178</f>
        <v>3.5313693110914368E-2</v>
      </c>
      <c r="CD98" s="417">
        <f t="shared" si="28"/>
        <v>2.3097279906837076E-2</v>
      </c>
      <c r="CE98" s="525">
        <f t="shared" ref="CE98:CE130" si="63">W178</f>
        <v>3.5313693110914368E-2</v>
      </c>
      <c r="CG98" s="527">
        <f t="shared" ref="CG98:CG130" si="64">$I98*$E$75*$L98</f>
        <v>1281.1694892133692</v>
      </c>
      <c r="CH98" s="528">
        <f t="shared" ref="CH98:CH130" si="65">$I98*$J$75*M98</f>
        <v>502.14827512795569</v>
      </c>
      <c r="CI98" s="528">
        <f t="shared" ref="CI98:CI130" si="66">$I98*$K$75*N98</f>
        <v>2060.3452229820969</v>
      </c>
      <c r="CJ98" s="528">
        <f t="shared" ref="CJ98:CJ130" si="67">$I98*$L$75*O98</f>
        <v>2899.7723362286424</v>
      </c>
      <c r="CK98" s="528">
        <f t="shared" ref="CK98:CK130" si="68">$I98*$M$75*P98</f>
        <v>38.890323094172203</v>
      </c>
      <c r="CL98" s="528">
        <f t="shared" ref="CL98:CL130" si="69">SUM(CG98:CK98)</f>
        <v>6782.3256466462362</v>
      </c>
      <c r="CM98" s="646">
        <f t="shared" ref="CM98:CM130" si="70">AH98-CL98</f>
        <v>0</v>
      </c>
    </row>
    <row r="99" spans="1:91">
      <c r="A99" s="127">
        <f>'Input data'!A119</f>
        <v>2019</v>
      </c>
      <c r="B99" s="662">
        <f>'Input data'!B119</f>
        <v>58.365000000000002</v>
      </c>
      <c r="C99" s="236">
        <f>'Input data'!C119</f>
        <v>3179.2899999999995</v>
      </c>
      <c r="D99" s="236">
        <f>'Input data'!D119</f>
        <v>49847473.41597119</v>
      </c>
      <c r="E99" s="649">
        <f t="shared" ref="E99:E109" si="71">($E$110-$E$97)/($A$110-$A$97)+E98</f>
        <v>0.75867692307692314</v>
      </c>
      <c r="F99" s="417">
        <f t="shared" ref="F99:F109" si="72">($F$110-$F$97)/($A$110-$A$97)+F98</f>
        <v>0.3015461538461538</v>
      </c>
      <c r="G99" s="530">
        <f>B99*F99*'Input data'!$C$9</f>
        <v>538.6763776064397</v>
      </c>
      <c r="H99" s="529">
        <f>'Input data'!I119</f>
        <v>424.26313389388866</v>
      </c>
      <c r="I99" s="528">
        <f>'Input data'!K119</f>
        <v>24762.117809716812</v>
      </c>
      <c r="J99" s="528">
        <f>J97*0.89</f>
        <v>9918.1971363361608</v>
      </c>
      <c r="K99" s="530">
        <f t="shared" ref="K99:K130" si="73">I99*$B$10-J99</f>
        <v>1589.21582411913</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40.790343501199459</v>
      </c>
      <c r="R99" s="528">
        <f t="shared" si="32"/>
        <v>28.46476948069801</v>
      </c>
      <c r="S99" s="528">
        <f t="shared" si="33"/>
        <v>83.356633121485629</v>
      </c>
      <c r="T99" s="528">
        <f t="shared" si="34"/>
        <v>56.127138580410247</v>
      </c>
      <c r="U99" s="530">
        <f t="shared" si="35"/>
        <v>0</v>
      </c>
      <c r="V99" s="528">
        <f t="shared" si="9"/>
        <v>208.73888468379334</v>
      </c>
      <c r="W99" s="649">
        <v>0.1</v>
      </c>
      <c r="X99" s="530">
        <f t="shared" si="36"/>
        <v>606.697651772634</v>
      </c>
      <c r="Y99" s="528">
        <f t="shared" ref="Y99:Y130" si="77">X99+V99</f>
        <v>815.43653645642735</v>
      </c>
      <c r="Z99" s="528">
        <f t="shared" ref="Z99:Z130" si="78">I99*$B$10-Y99</f>
        <v>10691.976423998864</v>
      </c>
      <c r="AA99" s="530">
        <f t="shared" ref="AA99:AA130" si="79">Z99-J99</f>
        <v>773.7792876627027</v>
      </c>
      <c r="AB99" s="1091">
        <f t="shared" si="37"/>
        <v>7.2370089212496089E-2</v>
      </c>
      <c r="AC99" s="135" t="str">
        <f t="shared" si="38"/>
        <v>Yes</v>
      </c>
      <c r="AD99" s="1091">
        <f t="shared" si="39"/>
        <v>7.2370089212496089E-2</v>
      </c>
      <c r="AE99" s="649">
        <f t="shared" si="10"/>
        <v>4.2262775008130249E-2</v>
      </c>
      <c r="AF99" s="530">
        <f t="shared" si="11"/>
        <v>406.33259652188701</v>
      </c>
      <c r="AG99" s="527">
        <f t="shared" si="40"/>
        <v>9918.1971363361608</v>
      </c>
      <c r="AH99" s="528">
        <f t="shared" ref="AH99:AH130" si="80">IF(V99+I99*$C$10*$G$10&lt;AH98,AH98,V99+I99*$C$10*$G$10)</f>
        <v>6996.3959826042337</v>
      </c>
      <c r="AI99" s="528">
        <f t="shared" ref="AI99:AI130" si="81">IF(($C$10*$H$10*$I$98+X99)&lt;AI98,AI98,($C$10*$H$10*$I$98+X99))</f>
        <v>4010.8726104984025</v>
      </c>
      <c r="AJ99" s="528">
        <f t="shared" si="12"/>
        <v>2790.1362665611405</v>
      </c>
      <c r="AK99" s="528">
        <f t="shared" si="41"/>
        <v>23715.601995999936</v>
      </c>
      <c r="AL99" s="716">
        <f t="shared" si="13"/>
        <v>0</v>
      </c>
      <c r="AM99" s="417">
        <f t="shared" si="42"/>
        <v>0.41821401531401325</v>
      </c>
      <c r="AN99" s="417">
        <f t="shared" si="43"/>
        <v>0.29501237134036495</v>
      </c>
      <c r="AO99" s="417">
        <f t="shared" si="44"/>
        <v>0.16912379500950087</v>
      </c>
      <c r="AP99" s="417">
        <f t="shared" si="45"/>
        <v>0.11764981833612098</v>
      </c>
      <c r="AQ99" s="417">
        <f t="shared" si="46"/>
        <v>1</v>
      </c>
      <c r="AR99" s="1086">
        <f t="shared" si="14"/>
        <v>2313.9329536504479</v>
      </c>
      <c r="AS99" s="938">
        <f t="shared" si="15"/>
        <v>2934.6929888154295</v>
      </c>
      <c r="AT99" s="938">
        <f t="shared" si="16"/>
        <v>591.94548352934771</v>
      </c>
      <c r="AU99" s="938">
        <f t="shared" si="17"/>
        <v>0</v>
      </c>
      <c r="AV99" s="938">
        <f t="shared" si="18"/>
        <v>0</v>
      </c>
      <c r="AW99" s="938">
        <f t="shared" si="19"/>
        <v>0</v>
      </c>
      <c r="AX99" s="938">
        <f t="shared" si="20"/>
        <v>2680.5727347369716</v>
      </c>
      <c r="AY99" s="938">
        <f t="shared" si="21"/>
        <v>361.14492888149971</v>
      </c>
      <c r="AZ99" s="938">
        <f t="shared" si="22"/>
        <v>485.97738294751366</v>
      </c>
      <c r="BA99" s="938">
        <f t="shared" si="23"/>
        <v>443.12151277052453</v>
      </c>
      <c r="BB99" s="938">
        <f t="shared" si="24"/>
        <v>106.80915100442425</v>
      </c>
      <c r="BC99" s="530">
        <f t="shared" si="47"/>
        <v>9918.1971363361627</v>
      </c>
      <c r="BD99" s="724">
        <f t="shared" si="48"/>
        <v>0</v>
      </c>
      <c r="BE99" s="436">
        <f t="shared" si="49"/>
        <v>0.2333017706588183</v>
      </c>
      <c r="BF99" s="624">
        <f t="shared" si="50"/>
        <v>0.29588976186649196</v>
      </c>
      <c r="BG99" s="624">
        <f t="shared" si="51"/>
        <v>5.9682770506819721E-2</v>
      </c>
      <c r="BH99" s="624">
        <f t="shared" si="52"/>
        <v>0</v>
      </c>
      <c r="BI99" s="624">
        <f t="shared" si="53"/>
        <v>0</v>
      </c>
      <c r="BJ99" s="624">
        <f t="shared" si="54"/>
        <v>0</v>
      </c>
      <c r="BK99" s="624">
        <f t="shared" si="55"/>
        <v>0.4111256969678696</v>
      </c>
      <c r="BL99" s="624">
        <f t="shared" si="56"/>
        <v>0.99999999999999956</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106.72699670564646</v>
      </c>
      <c r="BW99" s="114">
        <f t="shared" si="59"/>
        <v>0.33634844273691999</v>
      </c>
      <c r="BX99" s="1695">
        <f t="shared" si="25"/>
        <v>49.847473415971187</v>
      </c>
      <c r="BY99" s="527">
        <f t="shared" si="60"/>
        <v>106.72699670564646</v>
      </c>
      <c r="BZ99" s="417">
        <f t="shared" si="61"/>
        <v>0.33634844273691999</v>
      </c>
      <c r="CA99" s="544">
        <f t="shared" si="26"/>
        <v>49.847473415971187</v>
      </c>
      <c r="CB99" s="649">
        <f t="shared" si="27"/>
        <v>4.2262775008130249E-2</v>
      </c>
      <c r="CC99" s="525">
        <f t="shared" si="62"/>
        <v>5.7337149546160315E-2</v>
      </c>
      <c r="CD99" s="417">
        <f t="shared" si="28"/>
        <v>4.2262775008130249E-2</v>
      </c>
      <c r="CE99" s="525">
        <f t="shared" si="63"/>
        <v>5.7337149546160315E-2</v>
      </c>
      <c r="CG99" s="527">
        <f t="shared" si="64"/>
        <v>1322.2869684972097</v>
      </c>
      <c r="CH99" s="528">
        <f t="shared" si="65"/>
        <v>524.5026695415736</v>
      </c>
      <c r="CI99" s="528">
        <f t="shared" si="66"/>
        <v>2135.3486442184849</v>
      </c>
      <c r="CJ99" s="528">
        <f t="shared" si="67"/>
        <v>2974.7383447617685</v>
      </c>
      <c r="CK99" s="528">
        <f t="shared" si="68"/>
        <v>39.519355585196749</v>
      </c>
      <c r="CL99" s="528">
        <f t="shared" si="69"/>
        <v>6996.3959826042337</v>
      </c>
      <c r="CM99" s="646">
        <f t="shared" si="70"/>
        <v>0</v>
      </c>
    </row>
    <row r="100" spans="1:91">
      <c r="A100" s="127">
        <f>'Input data'!A120</f>
        <v>2020</v>
      </c>
      <c r="B100" s="662">
        <f>'Input data'!B120</f>
        <v>59.308999999999997</v>
      </c>
      <c r="C100" s="236">
        <f>'Input data'!C120</f>
        <v>2948.9199999999987</v>
      </c>
      <c r="D100" s="236">
        <f>'Input data'!D120</f>
        <v>47586944.933914557</v>
      </c>
      <c r="E100" s="649">
        <f t="shared" si="71"/>
        <v>0.78061538461538471</v>
      </c>
      <c r="F100" s="417">
        <f t="shared" si="72"/>
        <v>0.30751923076923071</v>
      </c>
      <c r="G100" s="530">
        <f>B100*F100*'Input data'!$C$9</f>
        <v>558.23174355958042</v>
      </c>
      <c r="H100" s="529">
        <f>'Input data'!I120</f>
        <v>424.26313389388866</v>
      </c>
      <c r="I100" s="528">
        <f>'Input data'!K120</f>
        <v>25162.622208112643</v>
      </c>
      <c r="J100" s="528">
        <f>J97*0.81</f>
        <v>9026.6737982385275</v>
      </c>
      <c r="K100" s="530">
        <f t="shared" si="73"/>
        <v>2666.8609447006111</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62.175134482463136</v>
      </c>
      <c r="R100" s="528">
        <f t="shared" si="32"/>
        <v>43.387741278096087</v>
      </c>
      <c r="S100" s="528">
        <f t="shared" si="33"/>
        <v>127.05727457728563</v>
      </c>
      <c r="T100" s="528">
        <f t="shared" si="34"/>
        <v>85.552414856478208</v>
      </c>
      <c r="U100" s="530">
        <f t="shared" si="35"/>
        <v>0</v>
      </c>
      <c r="V100" s="528">
        <f t="shared" si="9"/>
        <v>318.17256519432306</v>
      </c>
      <c r="W100" s="649">
        <f>($N$142-$N$137)/($A$102-$A$97)+W99</f>
        <v>0.2</v>
      </c>
      <c r="X100" s="530">
        <f t="shared" si="36"/>
        <v>1213.395303545268</v>
      </c>
      <c r="Y100" s="528">
        <f t="shared" si="77"/>
        <v>1531.5678687395912</v>
      </c>
      <c r="Z100" s="528">
        <f t="shared" si="78"/>
        <v>10161.966874199548</v>
      </c>
      <c r="AA100" s="530">
        <f t="shared" si="79"/>
        <v>1135.2930759610208</v>
      </c>
      <c r="AB100" s="1091">
        <f t="shared" si="37"/>
        <v>0.11171981664725188</v>
      </c>
      <c r="AC100" s="135" t="str">
        <f t="shared" si="38"/>
        <v>Yes</v>
      </c>
      <c r="AD100" s="1091">
        <f t="shared" si="39"/>
        <v>0.11171981664725188</v>
      </c>
      <c r="AE100" s="649">
        <f t="shared" si="10"/>
        <v>6.3100384537620458E-2</v>
      </c>
      <c r="AF100" s="530">
        <f t="shared" si="11"/>
        <v>397.49196700004836</v>
      </c>
      <c r="AG100" s="527">
        <f t="shared" si="40"/>
        <v>9026.6737982385275</v>
      </c>
      <c r="AH100" s="528">
        <f t="shared" si="80"/>
        <v>7215.6137511887273</v>
      </c>
      <c r="AI100" s="528">
        <f t="shared" si="81"/>
        <v>4617.5702622710369</v>
      </c>
      <c r="AJ100" s="528">
        <f t="shared" si="12"/>
        <v>2714.9932591075731</v>
      </c>
      <c r="AK100" s="528">
        <f t="shared" si="41"/>
        <v>23574.851070805867</v>
      </c>
      <c r="AL100" s="716">
        <f t="shared" si="13"/>
        <v>0</v>
      </c>
      <c r="AM100" s="417">
        <f t="shared" si="42"/>
        <v>0.3828942024332358</v>
      </c>
      <c r="AN100" s="417">
        <f t="shared" si="43"/>
        <v>0.30607250622780174</v>
      </c>
      <c r="AO100" s="417">
        <f t="shared" si="44"/>
        <v>0.19586848071287488</v>
      </c>
      <c r="AP100" s="417">
        <f t="shared" si="45"/>
        <v>0.11516481062608747</v>
      </c>
      <c r="AQ100" s="417">
        <f t="shared" si="46"/>
        <v>1</v>
      </c>
      <c r="AR100" s="1086">
        <f t="shared" si="14"/>
        <v>2017.8680802834513</v>
      </c>
      <c r="AS100" s="938">
        <f t="shared" si="15"/>
        <v>2559.2026329976679</v>
      </c>
      <c r="AT100" s="938">
        <f t="shared" si="16"/>
        <v>557.59376110027858</v>
      </c>
      <c r="AU100" s="938">
        <f t="shared" si="17"/>
        <v>0</v>
      </c>
      <c r="AV100" s="938">
        <f t="shared" si="18"/>
        <v>0</v>
      </c>
      <c r="AW100" s="938">
        <f t="shared" si="19"/>
        <v>0</v>
      </c>
      <c r="AX100" s="938">
        <f t="shared" si="20"/>
        <v>2608.3804553131322</v>
      </c>
      <c r="AY100" s="938">
        <f t="shared" si="21"/>
        <v>338.57187205507319</v>
      </c>
      <c r="AZ100" s="938">
        <f t="shared" si="22"/>
        <v>435.26838450853552</v>
      </c>
      <c r="BA100" s="938">
        <f t="shared" si="23"/>
        <v>405.85600895185235</v>
      </c>
      <c r="BB100" s="938">
        <f t="shared" si="24"/>
        <v>103.93260302853392</v>
      </c>
      <c r="BC100" s="530">
        <f t="shared" si="47"/>
        <v>9026.6737982385239</v>
      </c>
      <c r="BD100" s="724">
        <f t="shared" si="48"/>
        <v>0</v>
      </c>
      <c r="BE100" s="436">
        <f t="shared" si="49"/>
        <v>0.22354503169010279</v>
      </c>
      <c r="BF100" s="624">
        <f t="shared" si="50"/>
        <v>0.28351557729903498</v>
      </c>
      <c r="BG100" s="624">
        <f t="shared" si="51"/>
        <v>6.1771785882978082E-2</v>
      </c>
      <c r="BH100" s="624">
        <f t="shared" si="52"/>
        <v>0</v>
      </c>
      <c r="BI100" s="624">
        <f t="shared" si="53"/>
        <v>0</v>
      </c>
      <c r="BJ100" s="624">
        <f t="shared" si="54"/>
        <v>0</v>
      </c>
      <c r="BK100" s="624">
        <f t="shared" si="55"/>
        <v>0.43116760512788427</v>
      </c>
      <c r="BL100" s="624">
        <f t="shared" si="56"/>
        <v>1</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101.06344703165011</v>
      </c>
      <c r="BW100" s="114">
        <f t="shared" si="59"/>
        <v>0.36215477056092171</v>
      </c>
      <c r="BX100" s="1695">
        <f t="shared" si="25"/>
        <v>47.586944933914559</v>
      </c>
      <c r="BY100" s="527">
        <f t="shared" si="60"/>
        <v>101.06344703165011</v>
      </c>
      <c r="BZ100" s="417">
        <f t="shared" si="61"/>
        <v>0.36215477056092171</v>
      </c>
      <c r="CA100" s="544">
        <f t="shared" si="26"/>
        <v>47.586944933914559</v>
      </c>
      <c r="CB100" s="649">
        <f t="shared" si="27"/>
        <v>6.3100384537620458E-2</v>
      </c>
      <c r="CC100" s="525">
        <f t="shared" si="62"/>
        <v>6.6752191460547228E-2</v>
      </c>
      <c r="CD100" s="417">
        <f t="shared" si="28"/>
        <v>6.3100384537620458E-2</v>
      </c>
      <c r="CE100" s="525">
        <f t="shared" si="63"/>
        <v>6.6752191460547228E-2</v>
      </c>
      <c r="CG100" s="527">
        <f t="shared" si="64"/>
        <v>1364.3987844762671</v>
      </c>
      <c r="CH100" s="528">
        <f t="shared" si="65"/>
        <v>547.44859649458658</v>
      </c>
      <c r="CI100" s="528">
        <f t="shared" si="66"/>
        <v>2212.2383623208293</v>
      </c>
      <c r="CJ100" s="528">
        <f t="shared" si="67"/>
        <v>3051.3694632144015</v>
      </c>
      <c r="CK100" s="528">
        <f t="shared" si="68"/>
        <v>40.158544682642571</v>
      </c>
      <c r="CL100" s="528">
        <f t="shared" si="69"/>
        <v>7215.6137511887273</v>
      </c>
      <c r="CM100" s="646">
        <f t="shared" si="70"/>
        <v>0</v>
      </c>
    </row>
    <row r="101" spans="1:91">
      <c r="A101" s="873">
        <f>'Input data'!A121</f>
        <v>2021</v>
      </c>
      <c r="B101" s="1553">
        <f>'Input data'!B121</f>
        <v>59.991999999999997</v>
      </c>
      <c r="C101" s="1552">
        <f>'Input data'!C121</f>
        <v>3014.38</v>
      </c>
      <c r="D101" s="1552">
        <f>'Input data'!D121</f>
        <v>47328556.831579238</v>
      </c>
      <c r="E101" s="1456">
        <f t="shared" si="71"/>
        <v>0.80255384615384628</v>
      </c>
      <c r="F101" s="1506">
        <f t="shared" si="72"/>
        <v>0.31349230769230763</v>
      </c>
      <c r="G101" s="1513">
        <f>B101*F101*'Input data'!$C$9</f>
        <v>575.62795502093263</v>
      </c>
      <c r="H101" s="1544">
        <f>'Input data'!I121</f>
        <v>424.26313389388866</v>
      </c>
      <c r="I101" s="1511">
        <f>'Input data'!K121</f>
        <v>25452.393928562167</v>
      </c>
      <c r="J101" s="1511">
        <f>J97*0.65</f>
        <v>7243.6271220432636</v>
      </c>
      <c r="K101" s="1513">
        <f t="shared" si="73"/>
        <v>4584.569885129421</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83.854854358740795</v>
      </c>
      <c r="R101" s="1511">
        <f t="shared" si="32"/>
        <v>58.516523624981971</v>
      </c>
      <c r="S101" s="1511">
        <f t="shared" si="33"/>
        <v>171.36061455407025</v>
      </c>
      <c r="T101" s="1511">
        <f t="shared" si="34"/>
        <v>115.3835105873718</v>
      </c>
      <c r="U101" s="1513">
        <f t="shared" si="35"/>
        <v>0</v>
      </c>
      <c r="V101" s="1511">
        <f t="shared" si="9"/>
        <v>429.11550312516482</v>
      </c>
      <c r="W101" s="1456">
        <v>0.4</v>
      </c>
      <c r="X101" s="530">
        <f t="shared" si="36"/>
        <v>2426.790607090536</v>
      </c>
      <c r="Y101" s="528">
        <f t="shared" si="77"/>
        <v>2855.9061102157007</v>
      </c>
      <c r="Z101" s="528">
        <f t="shared" si="78"/>
        <v>8972.2908969569835</v>
      </c>
      <c r="AA101" s="530">
        <f t="shared" si="79"/>
        <v>1728.6637749137199</v>
      </c>
      <c r="AB101" s="1091">
        <f t="shared" si="37"/>
        <v>0.19266693364790574</v>
      </c>
      <c r="AC101" s="135" t="str">
        <f t="shared" si="38"/>
        <v>Yes</v>
      </c>
      <c r="AD101" s="1091">
        <f t="shared" si="39"/>
        <v>0.19266693364790574</v>
      </c>
      <c r="AE101" s="649">
        <f t="shared" si="10"/>
        <v>9.7272411607128184E-2</v>
      </c>
      <c r="AF101" s="530">
        <f t="shared" si="11"/>
        <v>382.99403570403217</v>
      </c>
      <c r="AG101" s="527">
        <f t="shared" si="40"/>
        <v>7243.6271220432636</v>
      </c>
      <c r="AH101" s="528">
        <f t="shared" si="80"/>
        <v>7405.9873375883362</v>
      </c>
      <c r="AI101" s="528">
        <f t="shared" si="81"/>
        <v>5830.9655658163047</v>
      </c>
      <c r="AJ101" s="528">
        <f t="shared" si="12"/>
        <v>2495.998164508394</v>
      </c>
      <c r="AK101" s="528">
        <f t="shared" si="41"/>
        <v>22976.578189956297</v>
      </c>
      <c r="AL101" s="716">
        <f t="shared" si="13"/>
        <v>0</v>
      </c>
      <c r="AM101" s="417">
        <f t="shared" si="42"/>
        <v>0.31526135276355705</v>
      </c>
      <c r="AN101" s="417">
        <f t="shared" si="43"/>
        <v>0.32232768849913862</v>
      </c>
      <c r="AO101" s="417">
        <f t="shared" si="44"/>
        <v>0.25377867485791172</v>
      </c>
      <c r="AP101" s="417">
        <f t="shared" si="45"/>
        <v>0.10863228387939264</v>
      </c>
      <c r="AQ101" s="417">
        <f t="shared" si="46"/>
        <v>1</v>
      </c>
      <c r="AR101" s="1086">
        <f t="shared" si="14"/>
        <v>1428.2004197022736</v>
      </c>
      <c r="AS101" s="938">
        <f t="shared" si="15"/>
        <v>1811.3445126883635</v>
      </c>
      <c r="AT101" s="938">
        <f t="shared" si="16"/>
        <v>495.69278139528046</v>
      </c>
      <c r="AU101" s="938">
        <f t="shared" si="17"/>
        <v>0</v>
      </c>
      <c r="AV101" s="938">
        <f t="shared" si="18"/>
        <v>0</v>
      </c>
      <c r="AW101" s="938">
        <f t="shared" si="19"/>
        <v>0</v>
      </c>
      <c r="AX101" s="938">
        <f t="shared" si="20"/>
        <v>2397.9848962649626</v>
      </c>
      <c r="AY101" s="938">
        <f t="shared" si="21"/>
        <v>299.45161755724035</v>
      </c>
      <c r="AZ101" s="938">
        <f t="shared" si="22"/>
        <v>365.57276468578976</v>
      </c>
      <c r="BA101" s="938">
        <f t="shared" si="23"/>
        <v>349.83087358763601</v>
      </c>
      <c r="BB101" s="938">
        <f t="shared" si="24"/>
        <v>95.549256161715476</v>
      </c>
      <c r="BC101" s="530">
        <f t="shared" si="47"/>
        <v>7243.6271220432618</v>
      </c>
      <c r="BD101" s="724">
        <f t="shared" si="48"/>
        <v>0</v>
      </c>
      <c r="BE101" s="436">
        <f t="shared" si="49"/>
        <v>0.19716647414885305</v>
      </c>
      <c r="BF101" s="624">
        <f t="shared" si="50"/>
        <v>0.25006042997108674</v>
      </c>
      <c r="BG101" s="624">
        <f t="shared" si="51"/>
        <v>6.8431570681879175E-2</v>
      </c>
      <c r="BH101" s="624">
        <f t="shared" si="52"/>
        <v>0</v>
      </c>
      <c r="BI101" s="624">
        <f t="shared" si="53"/>
        <v>0</v>
      </c>
      <c r="BJ101" s="624">
        <f t="shared" si="54"/>
        <v>0</v>
      </c>
      <c r="BK101" s="624">
        <f t="shared" si="55"/>
        <v>0.48434152519818108</v>
      </c>
      <c r="BL101" s="624">
        <f t="shared" si="56"/>
        <v>1</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91.347015592912086</v>
      </c>
      <c r="BW101" s="114">
        <f t="shared" si="59"/>
        <v>0.43370413130380214</v>
      </c>
      <c r="BX101" s="1695">
        <f t="shared" si="25"/>
        <v>47.328556831579235</v>
      </c>
      <c r="BY101" s="527">
        <f t="shared" si="60"/>
        <v>91.347015592912086</v>
      </c>
      <c r="BZ101" s="417">
        <f t="shared" si="61"/>
        <v>0.43370413130380214</v>
      </c>
      <c r="CA101" s="544">
        <f t="shared" si="26"/>
        <v>47.328556831579235</v>
      </c>
      <c r="CB101" s="649">
        <f t="shared" si="27"/>
        <v>9.7272411607128184E-2</v>
      </c>
      <c r="CC101" s="525">
        <f t="shared" si="62"/>
        <v>0.18177545134573359</v>
      </c>
      <c r="CD101" s="417">
        <f t="shared" si="28"/>
        <v>9.7272411607128184E-2</v>
      </c>
      <c r="CE101" s="525">
        <f t="shared" si="63"/>
        <v>0.18177545134573359</v>
      </c>
      <c r="CG101" s="527">
        <f t="shared" si="64"/>
        <v>1401.0748582439571</v>
      </c>
      <c r="CH101" s="528">
        <f t="shared" si="65"/>
        <v>568.38212287885062</v>
      </c>
      <c r="CI101" s="528">
        <f t="shared" si="66"/>
        <v>2280.5545617781117</v>
      </c>
      <c r="CJ101" s="528">
        <f t="shared" si="67"/>
        <v>3115.3547858590596</v>
      </c>
      <c r="CK101" s="528">
        <f t="shared" si="68"/>
        <v>40.621008828358143</v>
      </c>
      <c r="CL101" s="528">
        <f t="shared" si="69"/>
        <v>7405.9873375883371</v>
      </c>
      <c r="CM101" s="646">
        <f t="shared" si="70"/>
        <v>0</v>
      </c>
    </row>
    <row r="102" spans="1:91" s="464" customFormat="1">
      <c r="A102" s="150">
        <f>'Input data'!A122</f>
        <v>2022</v>
      </c>
      <c r="B102" s="1508">
        <f>'Input data'!B122</f>
        <v>60.682000000000002</v>
      </c>
      <c r="C102" s="1509">
        <f>'Input data'!C122</f>
        <v>3077.2</v>
      </c>
      <c r="D102" s="1509">
        <f>'Input data'!D122</f>
        <v>45903210.392984279</v>
      </c>
      <c r="E102" s="1457">
        <f t="shared" si="71"/>
        <v>0.82449230769230786</v>
      </c>
      <c r="F102" s="1451">
        <f t="shared" si="72"/>
        <v>0.31946538461538454</v>
      </c>
      <c r="G102" s="1556">
        <f>B102*F102*'Input data'!$C$9</f>
        <v>593.34234160989524</v>
      </c>
      <c r="H102" s="1551">
        <f>'Input data'!I122</f>
        <v>424.26313389388866</v>
      </c>
      <c r="I102" s="1559">
        <f>'Input data'!K122</f>
        <v>25745.135490948953</v>
      </c>
      <c r="J102" s="1559">
        <f>J97*(1-$G$4)</f>
        <v>5572.0208631102023</v>
      </c>
      <c r="K102" s="1513">
        <f t="shared" si="73"/>
        <v>6392.218548632246</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106.02414222306948</v>
      </c>
      <c r="R102" s="1511">
        <f t="shared" si="32"/>
        <v>73.986941729963064</v>
      </c>
      <c r="S102" s="1511">
        <f t="shared" si="33"/>
        <v>216.66440551177902</v>
      </c>
      <c r="T102" s="1511">
        <f t="shared" si="34"/>
        <v>145.88824738012818</v>
      </c>
      <c r="U102" s="1513">
        <f t="shared" si="35"/>
        <v>0</v>
      </c>
      <c r="V102" s="1511">
        <f t="shared" si="9"/>
        <v>542.56373684493974</v>
      </c>
      <c r="W102" s="1456">
        <f>$E$26</f>
        <v>0.5</v>
      </c>
      <c r="X102" s="530">
        <f t="shared" si="36"/>
        <v>3033.4882588631699</v>
      </c>
      <c r="Y102" s="528">
        <f t="shared" si="77"/>
        <v>3576.0519957081096</v>
      </c>
      <c r="Z102" s="528">
        <f t="shared" si="78"/>
        <v>8388.1874160343395</v>
      </c>
      <c r="AA102" s="530">
        <f t="shared" si="79"/>
        <v>2816.1665529241372</v>
      </c>
      <c r="AB102" s="1091">
        <f t="shared" si="37"/>
        <v>0.33573004670126083</v>
      </c>
      <c r="AC102" s="135" t="str">
        <f t="shared" si="38"/>
        <v>Yes</v>
      </c>
      <c r="AD102" s="1091">
        <f t="shared" si="39"/>
        <v>0.33573004670126083</v>
      </c>
      <c r="AE102" s="649">
        <f t="shared" si="10"/>
        <v>0.15763966722713285</v>
      </c>
      <c r="AF102" s="530">
        <f t="shared" si="11"/>
        <v>357.38243465011556</v>
      </c>
      <c r="AG102" s="527">
        <f t="shared" si="40"/>
        <v>5572.0208631102023</v>
      </c>
      <c r="AH102" s="528">
        <f t="shared" si="80"/>
        <v>7599.6802967011581</v>
      </c>
      <c r="AI102" s="528">
        <f t="shared" si="81"/>
        <v>6437.663217588939</v>
      </c>
      <c r="AJ102" s="528">
        <f t="shared" si="12"/>
        <v>2077.3165220380142</v>
      </c>
      <c r="AK102" s="528">
        <f t="shared" si="41"/>
        <v>21686.680899438314</v>
      </c>
      <c r="AL102" s="716">
        <f t="shared" si="13"/>
        <v>0</v>
      </c>
      <c r="AM102" s="417">
        <f t="shared" si="42"/>
        <v>0.25693285611328925</v>
      </c>
      <c r="AN102" s="417">
        <f t="shared" si="43"/>
        <v>0.3504307704780214</v>
      </c>
      <c r="AO102" s="417">
        <f t="shared" si="44"/>
        <v>0.29684870854330109</v>
      </c>
      <c r="AP102" s="417">
        <f t="shared" si="45"/>
        <v>9.578766486538827E-2</v>
      </c>
      <c r="AQ102" s="417">
        <f t="shared" si="46"/>
        <v>1.0000000000000002</v>
      </c>
      <c r="AR102" s="1086">
        <f t="shared" si="14"/>
        <v>1019.1332158387886</v>
      </c>
      <c r="AS102" s="938">
        <f t="shared" si="15"/>
        <v>1292.5366305331697</v>
      </c>
      <c r="AT102" s="938">
        <f t="shared" si="16"/>
        <v>398.45896586129595</v>
      </c>
      <c r="AU102" s="938">
        <f t="shared" si="17"/>
        <v>0</v>
      </c>
      <c r="AV102" s="938">
        <f t="shared" si="18"/>
        <v>0</v>
      </c>
      <c r="AW102" s="938">
        <f t="shared" si="19"/>
        <v>0</v>
      </c>
      <c r="AX102" s="938">
        <f t="shared" si="20"/>
        <v>1995.7441136940665</v>
      </c>
      <c r="AY102" s="938">
        <f t="shared" si="21"/>
        <v>239.39179359944177</v>
      </c>
      <c r="AZ102" s="938">
        <f t="shared" si="22"/>
        <v>275.46643197018483</v>
      </c>
      <c r="BA102" s="938">
        <f t="shared" si="23"/>
        <v>271.76799909137372</v>
      </c>
      <c r="BB102" s="938">
        <f t="shared" si="24"/>
        <v>79.521712521878968</v>
      </c>
      <c r="BC102" s="530">
        <f t="shared" si="47"/>
        <v>5572.0208631101996</v>
      </c>
      <c r="BD102" s="724">
        <f t="shared" si="48"/>
        <v>0</v>
      </c>
      <c r="BE102" s="436">
        <f t="shared" si="49"/>
        <v>0.18290190235754558</v>
      </c>
      <c r="BF102" s="624">
        <f t="shared" si="50"/>
        <v>0.23196909385075409</v>
      </c>
      <c r="BG102" s="624">
        <f t="shared" si="51"/>
        <v>7.151067371253228E-2</v>
      </c>
      <c r="BH102" s="624">
        <f t="shared" si="52"/>
        <v>0</v>
      </c>
      <c r="BI102" s="624">
        <f t="shared" si="53"/>
        <v>0</v>
      </c>
      <c r="BJ102" s="624">
        <f t="shared" si="54"/>
        <v>0</v>
      </c>
      <c r="BK102" s="624">
        <f t="shared" si="55"/>
        <v>0.51361833007916824</v>
      </c>
      <c r="BL102" s="624">
        <f t="shared" si="56"/>
        <v>1.0000000000000002</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84.104979827855686</v>
      </c>
      <c r="BW102" s="114">
        <f t="shared" si="59"/>
        <v>0.49260328595635877</v>
      </c>
      <c r="BX102" s="1695">
        <f t="shared" si="25"/>
        <v>45.903210392984278</v>
      </c>
      <c r="BY102" s="527">
        <f t="shared" si="60"/>
        <v>84.104979827855686</v>
      </c>
      <c r="BZ102" s="417">
        <f t="shared" si="61"/>
        <v>0.49260328595635877</v>
      </c>
      <c r="CA102" s="544">
        <f t="shared" si="26"/>
        <v>45.903210392984278</v>
      </c>
      <c r="CB102" s="649">
        <f t="shared" si="27"/>
        <v>0.15763966722713285</v>
      </c>
      <c r="CC102" s="525">
        <f t="shared" si="62"/>
        <v>0.24696717837396054</v>
      </c>
      <c r="CD102" s="417">
        <f t="shared" si="28"/>
        <v>0.15763966722713285</v>
      </c>
      <c r="CE102" s="525">
        <f t="shared" si="63"/>
        <v>0.24696717837396054</v>
      </c>
      <c r="CF102" s="1"/>
      <c r="CG102" s="527">
        <f t="shared" si="64"/>
        <v>1438.3941961596395</v>
      </c>
      <c r="CH102" s="528">
        <f t="shared" si="65"/>
        <v>589.7167772734233</v>
      </c>
      <c r="CI102" s="528">
        <f t="shared" si="66"/>
        <v>2350.1173176575526</v>
      </c>
      <c r="CJ102" s="528">
        <f t="shared" si="67"/>
        <v>3180.3637928868047</v>
      </c>
      <c r="CK102" s="528">
        <f t="shared" si="68"/>
        <v>41.08821272373698</v>
      </c>
      <c r="CL102" s="528">
        <f t="shared" si="69"/>
        <v>7599.6802967011572</v>
      </c>
      <c r="CM102" s="646">
        <f t="shared" si="70"/>
        <v>0</v>
      </c>
    </row>
    <row r="103" spans="1:91" s="4" customFormat="1">
      <c r="A103" s="150">
        <f>'Input data'!A123</f>
        <v>2023</v>
      </c>
      <c r="B103" s="1508">
        <f>'Input data'!B123</f>
        <v>61.381</v>
      </c>
      <c r="C103" s="1509">
        <f>'Input data'!C123</f>
        <v>3140.61</v>
      </c>
      <c r="D103" s="1509">
        <f>'Input data'!D123</f>
        <v>44745286.877069645</v>
      </c>
      <c r="E103" s="1457">
        <f t="shared" si="71"/>
        <v>0.84643076923076943</v>
      </c>
      <c r="F103" s="1451">
        <f t="shared" si="72"/>
        <v>0.32543846153846145</v>
      </c>
      <c r="G103" s="1556">
        <f>B103*F103*'Input data'!$C$9</f>
        <v>611.39866394209514</v>
      </c>
      <c r="H103" s="1551">
        <f>'Input data'!I123</f>
        <v>424.26313389388866</v>
      </c>
      <c r="I103" s="1559">
        <f>'Input data'!K123</f>
        <v>26041.695421540779</v>
      </c>
      <c r="J103" s="1559">
        <f>($J$107-$J$102)/($A$107-$A$102)+J102</f>
        <v>5237.69961132359</v>
      </c>
      <c r="K103" s="1513">
        <f t="shared" si="73"/>
        <v>6864.3566711351805</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128.69452965546748</v>
      </c>
      <c r="R103" s="1511">
        <f t="shared" si="32"/>
        <v>89.807042687983767</v>
      </c>
      <c r="S103" s="1511">
        <f t="shared" si="33"/>
        <v>262.99221267694156</v>
      </c>
      <c r="T103" s="1511">
        <f t="shared" si="34"/>
        <v>177.08249258309843</v>
      </c>
      <c r="U103" s="1513">
        <f t="shared" si="35"/>
        <v>0</v>
      </c>
      <c r="V103" s="1511">
        <f t="shared" si="9"/>
        <v>658.57627760349123</v>
      </c>
      <c r="W103" s="1456">
        <f>($N$147-$N$142)/($A$107-$A$102)+W102</f>
        <v>0.5</v>
      </c>
      <c r="X103" s="530">
        <f t="shared" si="36"/>
        <v>3033.4882588631699</v>
      </c>
      <c r="Y103" s="528">
        <f t="shared" si="77"/>
        <v>3692.0645364666611</v>
      </c>
      <c r="Z103" s="528">
        <f t="shared" si="78"/>
        <v>8409.9917459921089</v>
      </c>
      <c r="AA103" s="530">
        <f t="shared" si="79"/>
        <v>3172.2921346685189</v>
      </c>
      <c r="AB103" s="1091">
        <f t="shared" si="37"/>
        <v>0.37720514246405962</v>
      </c>
      <c r="AC103" s="135" t="str">
        <f t="shared" si="38"/>
        <v>Yes</v>
      </c>
      <c r="AD103" s="1091">
        <f t="shared" si="39"/>
        <v>0.37720514246405962</v>
      </c>
      <c r="AE103" s="649">
        <f t="shared" si="10"/>
        <v>0.17661287778653034</v>
      </c>
      <c r="AF103" s="530">
        <f t="shared" si="11"/>
        <v>349.33280087815695</v>
      </c>
      <c r="AG103" s="527">
        <f t="shared" si="40"/>
        <v>5237.69961132359</v>
      </c>
      <c r="AH103" s="528">
        <f t="shared" si="80"/>
        <v>7796.9842331839682</v>
      </c>
      <c r="AI103" s="528">
        <f t="shared" si="81"/>
        <v>6437.663217588939</v>
      </c>
      <c r="AJ103" s="528">
        <f t="shared" si="12"/>
        <v>1970.0495886056535</v>
      </c>
      <c r="AK103" s="528">
        <f t="shared" si="41"/>
        <v>21442.396650702151</v>
      </c>
      <c r="AL103" s="716">
        <f t="shared" si="13"/>
        <v>0</v>
      </c>
      <c r="AM103" s="417">
        <f t="shared" si="42"/>
        <v>0.24426838550960567</v>
      </c>
      <c r="AN103" s="417">
        <f t="shared" si="43"/>
        <v>0.36362466193482385</v>
      </c>
      <c r="AO103" s="417">
        <f t="shared" si="44"/>
        <v>0.30023058161169369</v>
      </c>
      <c r="AP103" s="417">
        <f t="shared" si="45"/>
        <v>9.1876370943876864E-2</v>
      </c>
      <c r="AQ103" s="417">
        <f t="shared" si="46"/>
        <v>1</v>
      </c>
      <c r="AR103" s="1086">
        <f t="shared" si="14"/>
        <v>976.10219119864871</v>
      </c>
      <c r="AS103" s="938">
        <f t="shared" si="15"/>
        <v>1237.9616498217631</v>
      </c>
      <c r="AT103" s="938">
        <f t="shared" si="16"/>
        <v>364.52525474906332</v>
      </c>
      <c r="AU103" s="938">
        <f t="shared" si="17"/>
        <v>0</v>
      </c>
      <c r="AV103" s="938">
        <f t="shared" si="18"/>
        <v>0</v>
      </c>
      <c r="AW103" s="938">
        <f t="shared" si="19"/>
        <v>0</v>
      </c>
      <c r="AX103" s="938">
        <f t="shared" si="20"/>
        <v>1892.689355923392</v>
      </c>
      <c r="AY103" s="938">
        <f t="shared" si="21"/>
        <v>217.70836324264766</v>
      </c>
      <c r="AZ103" s="938">
        <f t="shared" si="22"/>
        <v>233.94373391924972</v>
      </c>
      <c r="BA103" s="938">
        <f t="shared" si="23"/>
        <v>239.35363329520541</v>
      </c>
      <c r="BB103" s="938">
        <f t="shared" si="24"/>
        <v>75.415429173618193</v>
      </c>
      <c r="BC103" s="530">
        <f t="shared" si="47"/>
        <v>5237.6996113235882</v>
      </c>
      <c r="BD103" s="724">
        <f t="shared" si="48"/>
        <v>0</v>
      </c>
      <c r="BE103" s="436">
        <f t="shared" si="49"/>
        <v>0.18636085755822557</v>
      </c>
      <c r="BF103" s="624">
        <f t="shared" si="50"/>
        <v>0.23635598481924494</v>
      </c>
      <c r="BG103" s="624">
        <f t="shared" si="51"/>
        <v>6.9596441529594766E-2</v>
      </c>
      <c r="BH103" s="624">
        <f t="shared" si="52"/>
        <v>0</v>
      </c>
      <c r="BI103" s="624">
        <f t="shared" si="53"/>
        <v>0</v>
      </c>
      <c r="BJ103" s="624">
        <f t="shared" si="54"/>
        <v>0</v>
      </c>
      <c r="BK103" s="624">
        <f t="shared" si="55"/>
        <v>0.5076867160929347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83.027594209006878</v>
      </c>
      <c r="BW103" s="114">
        <f t="shared" si="59"/>
        <v>0.51534895181328266</v>
      </c>
      <c r="BX103" s="1695">
        <f t="shared" si="25"/>
        <v>44.745286877069645</v>
      </c>
      <c r="BY103" s="527">
        <f t="shared" si="60"/>
        <v>83.027594209006878</v>
      </c>
      <c r="BZ103" s="417">
        <f t="shared" si="61"/>
        <v>0.51534895181328266</v>
      </c>
      <c r="CA103" s="544">
        <f t="shared" si="26"/>
        <v>44.745286877069645</v>
      </c>
      <c r="CB103" s="649">
        <f t="shared" si="27"/>
        <v>0.17661287778653034</v>
      </c>
      <c r="CC103" s="525">
        <f t="shared" si="62"/>
        <v>0.25345338612614121</v>
      </c>
      <c r="CD103" s="417">
        <f t="shared" si="28"/>
        <v>0.17661287778653034</v>
      </c>
      <c r="CE103" s="525">
        <f t="shared" si="63"/>
        <v>0.25345338612614121</v>
      </c>
      <c r="CF103"/>
      <c r="CG103" s="527">
        <f t="shared" si="64"/>
        <v>1476.4122429918868</v>
      </c>
      <c r="CH103" s="528">
        <f t="shared" si="65"/>
        <v>611.47760455959519</v>
      </c>
      <c r="CI103" s="528">
        <f t="shared" si="66"/>
        <v>2421.0205110260358</v>
      </c>
      <c r="CJ103" s="528">
        <f t="shared" si="67"/>
        <v>3246.512364023481</v>
      </c>
      <c r="CK103" s="528">
        <f t="shared" si="68"/>
        <v>41.561510582968587</v>
      </c>
      <c r="CL103" s="528">
        <f t="shared" si="69"/>
        <v>7796.9842331839673</v>
      </c>
      <c r="CM103" s="646">
        <f t="shared" si="70"/>
        <v>0</v>
      </c>
    </row>
    <row r="104" spans="1:91" s="4" customFormat="1">
      <c r="A104" s="150">
        <f>'Input data'!A124</f>
        <v>2024</v>
      </c>
      <c r="B104" s="1508">
        <f>'Input data'!B124</f>
        <v>62.088000000000001</v>
      </c>
      <c r="C104" s="1509">
        <f>'Input data'!C124</f>
        <v>3201.77</v>
      </c>
      <c r="D104" s="1509">
        <f>'Input data'!D124</f>
        <v>43251251.992583826</v>
      </c>
      <c r="E104" s="1457">
        <f t="shared" si="71"/>
        <v>0.868369230769231</v>
      </c>
      <c r="F104" s="1451">
        <f t="shared" si="72"/>
        <v>0.33141153846153837</v>
      </c>
      <c r="G104" s="1556">
        <f>B104*F104*'Input data'!$C$9</f>
        <v>629.79171457903931</v>
      </c>
      <c r="H104" s="1551">
        <f>'Input data'!I124</f>
        <v>424.26313389388866</v>
      </c>
      <c r="I104" s="1559">
        <f>'Input data'!K124</f>
        <v>26341.649457203759</v>
      </c>
      <c r="J104" s="1559">
        <f t="shared" ref="J104:J106" si="84">($J$107-$J$102)/($A$107-$A$102)+J103</f>
        <v>4903.3783595369778</v>
      </c>
      <c r="K104" s="1513">
        <f t="shared" si="73"/>
        <v>7338.0720968795058</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151.8730054923094</v>
      </c>
      <c r="R104" s="1511">
        <f t="shared" si="32"/>
        <v>105.98170352628324</v>
      </c>
      <c r="S104" s="1511">
        <f t="shared" si="33"/>
        <v>310.3583180050332</v>
      </c>
      <c r="T104" s="1511">
        <f t="shared" si="34"/>
        <v>208.97586277104119</v>
      </c>
      <c r="U104" s="1513">
        <f t="shared" si="35"/>
        <v>0</v>
      </c>
      <c r="V104" s="1511">
        <f t="shared" si="9"/>
        <v>777.18888979466703</v>
      </c>
      <c r="W104" s="1456">
        <f>($N$147-$N$142)/($A$107-$A$102)+W103</f>
        <v>0.5</v>
      </c>
      <c r="X104" s="530">
        <f t="shared" si="36"/>
        <v>3033.4882588631699</v>
      </c>
      <c r="Y104" s="528">
        <f t="shared" si="77"/>
        <v>3810.6771486578368</v>
      </c>
      <c r="Z104" s="528">
        <f t="shared" si="78"/>
        <v>8430.7733077586472</v>
      </c>
      <c r="AA104" s="530">
        <f t="shared" si="79"/>
        <v>3527.3949482216694</v>
      </c>
      <c r="AB104" s="1091">
        <f t="shared" si="37"/>
        <v>0.41839518386474567</v>
      </c>
      <c r="AC104" s="135" t="str">
        <f t="shared" si="38"/>
        <v>Yes</v>
      </c>
      <c r="AD104" s="1091">
        <f t="shared" si="39"/>
        <v>0.41839518386474567</v>
      </c>
      <c r="AE104" s="649">
        <f t="shared" si="10"/>
        <v>0.19519821477542387</v>
      </c>
      <c r="AF104" s="530">
        <f t="shared" si="11"/>
        <v>341.44772756277496</v>
      </c>
      <c r="AG104" s="527">
        <f t="shared" si="40"/>
        <v>4903.3783595369778</v>
      </c>
      <c r="AH104" s="528">
        <f t="shared" si="80"/>
        <v>7997.818614727149</v>
      </c>
      <c r="AI104" s="528">
        <f t="shared" si="81"/>
        <v>6437.663217588939</v>
      </c>
      <c r="AJ104" s="528">
        <f t="shared" si="12"/>
        <v>1860.9463170645056</v>
      </c>
      <c r="AK104" s="528">
        <f t="shared" si="41"/>
        <v>21199.806508917573</v>
      </c>
      <c r="AL104" s="716">
        <f t="shared" si="13"/>
        <v>0</v>
      </c>
      <c r="AM104" s="417">
        <f t="shared" si="42"/>
        <v>0.23129354305542368</v>
      </c>
      <c r="AN104" s="417">
        <f t="shared" si="43"/>
        <v>0.37725903825409512</v>
      </c>
      <c r="AO104" s="417">
        <f t="shared" si="44"/>
        <v>0.30366613086213662</v>
      </c>
      <c r="AP104" s="417">
        <f t="shared" si="45"/>
        <v>8.7781287828344545E-2</v>
      </c>
      <c r="AQ104" s="417">
        <f t="shared" si="46"/>
        <v>1</v>
      </c>
      <c r="AR104" s="1086">
        <f t="shared" si="14"/>
        <v>931.00372634607243</v>
      </c>
      <c r="AS104" s="938">
        <f t="shared" si="15"/>
        <v>1180.7645956027111</v>
      </c>
      <c r="AT104" s="938">
        <f t="shared" si="16"/>
        <v>331.71890825789961</v>
      </c>
      <c r="AU104" s="938">
        <f t="shared" si="17"/>
        <v>0</v>
      </c>
      <c r="AV104" s="938">
        <f t="shared" si="18"/>
        <v>0</v>
      </c>
      <c r="AW104" s="938">
        <f t="shared" si="19"/>
        <v>0</v>
      </c>
      <c r="AX104" s="938">
        <f t="shared" si="20"/>
        <v>1787.870369672135</v>
      </c>
      <c r="AY104" s="938">
        <f t="shared" si="21"/>
        <v>196.84582286431382</v>
      </c>
      <c r="AZ104" s="938">
        <f t="shared" si="22"/>
        <v>195.20114523373877</v>
      </c>
      <c r="BA104" s="938">
        <f t="shared" si="23"/>
        <v>208.73494255741815</v>
      </c>
      <c r="BB104" s="938">
        <f t="shared" si="24"/>
        <v>71.238849002687004</v>
      </c>
      <c r="BC104" s="530">
        <f t="shared" si="47"/>
        <v>4903.3783595369769</v>
      </c>
      <c r="BD104" s="724">
        <f t="shared" si="48"/>
        <v>0</v>
      </c>
      <c r="BE104" s="436">
        <f t="shared" si="49"/>
        <v>0.18986985259566763</v>
      </c>
      <c r="BF104" s="624">
        <f t="shared" si="50"/>
        <v>0.24080633983835789</v>
      </c>
      <c r="BG104" s="624">
        <f t="shared" si="51"/>
        <v>6.7651093579738281E-2</v>
      </c>
      <c r="BH104" s="624">
        <f t="shared" si="52"/>
        <v>0</v>
      </c>
      <c r="BI104" s="624">
        <f t="shared" si="53"/>
        <v>0</v>
      </c>
      <c r="BJ104" s="624">
        <f t="shared" si="54"/>
        <v>0</v>
      </c>
      <c r="BK104" s="624">
        <f t="shared" si="55"/>
        <v>0.50167271398623581</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81.604265546673517</v>
      </c>
      <c r="BW104" s="114">
        <f t="shared" si="59"/>
        <v>0.5391129041020245</v>
      </c>
      <c r="BX104" s="1695">
        <f t="shared" si="25"/>
        <v>43.251251992583825</v>
      </c>
      <c r="BY104" s="527">
        <f t="shared" si="60"/>
        <v>81.604265546673517</v>
      </c>
      <c r="BZ104" s="417">
        <f t="shared" si="61"/>
        <v>0.5391129041020245</v>
      </c>
      <c r="CA104" s="544">
        <f t="shared" si="26"/>
        <v>43.251251992583825</v>
      </c>
      <c r="CB104" s="649">
        <f t="shared" si="27"/>
        <v>0.19519821477542387</v>
      </c>
      <c r="CC104" s="525">
        <f t="shared" si="62"/>
        <v>0.26096749156170729</v>
      </c>
      <c r="CD104" s="417">
        <f t="shared" si="28"/>
        <v>0.19519821477542387</v>
      </c>
      <c r="CE104" s="525">
        <f t="shared" si="63"/>
        <v>0.26096749156170729</v>
      </c>
      <c r="CF104"/>
      <c r="CG104" s="527">
        <f t="shared" si="64"/>
        <v>1515.1140309827967</v>
      </c>
      <c r="CH104" s="528">
        <f t="shared" si="65"/>
        <v>633.66098287143257</v>
      </c>
      <c r="CI104" s="528">
        <f t="shared" si="66"/>
        <v>2493.2432659188598</v>
      </c>
      <c r="CJ104" s="528">
        <f t="shared" si="67"/>
        <v>3313.7601096551016</v>
      </c>
      <c r="CK104" s="528">
        <f t="shared" si="68"/>
        <v>42.040225298958205</v>
      </c>
      <c r="CL104" s="528">
        <f t="shared" si="69"/>
        <v>7997.8186147271481</v>
      </c>
      <c r="CM104" s="646">
        <f t="shared" si="70"/>
        <v>0</v>
      </c>
    </row>
    <row r="105" spans="1:91" s="4" customFormat="1">
      <c r="A105" s="150">
        <f>'Input data'!A125</f>
        <v>2025</v>
      </c>
      <c r="B105" s="1508">
        <f>'Input data'!B125</f>
        <v>62.802999999999997</v>
      </c>
      <c r="C105" s="1509">
        <f>'Input data'!C125</f>
        <v>3265.54</v>
      </c>
      <c r="D105" s="1509">
        <f>'Input data'!D125</f>
        <v>40955103.194912732</v>
      </c>
      <c r="E105" s="1457">
        <f t="shared" si="71"/>
        <v>0.89030769230769258</v>
      </c>
      <c r="F105" s="1451">
        <f t="shared" si="72"/>
        <v>0.33738461538461528</v>
      </c>
      <c r="G105" s="1556">
        <f>B105*F105*'Input data'!$C$9</f>
        <v>648.52588116082893</v>
      </c>
      <c r="H105" s="1551">
        <f>'Input data'!I125</f>
        <v>424.26313389388866</v>
      </c>
      <c r="I105" s="1559">
        <f>'Input data'!K125</f>
        <v>26644.997597937887</v>
      </c>
      <c r="J105" s="1559">
        <f t="shared" si="84"/>
        <v>4569.0571077503655</v>
      </c>
      <c r="K105" s="1513">
        <f t="shared" si="73"/>
        <v>7813.3648258652183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175.56795633724505</v>
      </c>
      <c r="R105" s="1511">
        <f t="shared" si="32"/>
        <v>122.51677667754814</v>
      </c>
      <c r="S105" s="1511">
        <f t="shared" si="33"/>
        <v>358.77985984262159</v>
      </c>
      <c r="T105" s="1511">
        <f t="shared" si="34"/>
        <v>241.57989783366884</v>
      </c>
      <c r="U105" s="1513">
        <f t="shared" si="35"/>
        <v>0</v>
      </c>
      <c r="V105" s="1511">
        <f t="shared" si="9"/>
        <v>898.44449069108362</v>
      </c>
      <c r="W105" s="1456">
        <f>($N$147-$N$142)/($A$107-$A$102)+W104</f>
        <v>0.5</v>
      </c>
      <c r="X105" s="530">
        <f t="shared" si="36"/>
        <v>3033.4882588631699</v>
      </c>
      <c r="Y105" s="528">
        <f t="shared" si="77"/>
        <v>3931.9327495542534</v>
      </c>
      <c r="Z105" s="528">
        <f t="shared" si="78"/>
        <v>8450.4891840613309</v>
      </c>
      <c r="AA105" s="530">
        <f t="shared" si="79"/>
        <v>3881.4320763109654</v>
      </c>
      <c r="AB105" s="1091">
        <f t="shared" si="37"/>
        <v>0.45931448366703159</v>
      </c>
      <c r="AC105" s="135" t="str">
        <f t="shared" si="38"/>
        <v>Yes</v>
      </c>
      <c r="AD105" s="1091">
        <f t="shared" si="39"/>
        <v>0.45931448366703159</v>
      </c>
      <c r="AE105" s="649">
        <f t="shared" si="10"/>
        <v>0.21340254569298889</v>
      </c>
      <c r="AF105" s="530">
        <f t="shared" si="11"/>
        <v>333.72430107724745</v>
      </c>
      <c r="AG105" s="527">
        <f t="shared" si="40"/>
        <v>4569.0571077503655</v>
      </c>
      <c r="AH105" s="528">
        <f t="shared" si="80"/>
        <v>8202.226358603315</v>
      </c>
      <c r="AI105" s="528">
        <f t="shared" si="81"/>
        <v>6437.663217588939</v>
      </c>
      <c r="AJ105" s="528">
        <f t="shared" si="12"/>
        <v>1749.9405966117486</v>
      </c>
      <c r="AK105" s="528">
        <f t="shared" si="41"/>
        <v>20958.887280554369</v>
      </c>
      <c r="AL105" s="716">
        <f t="shared" si="13"/>
        <v>0</v>
      </c>
      <c r="AM105" s="417">
        <f t="shared" si="42"/>
        <v>0.21800093900927323</v>
      </c>
      <c r="AN105" s="417">
        <f t="shared" si="43"/>
        <v>0.39134836925304384</v>
      </c>
      <c r="AO105" s="417">
        <f t="shared" si="44"/>
        <v>0.30715672694903967</v>
      </c>
      <c r="AP105" s="417">
        <f t="shared" si="45"/>
        <v>8.349396478864321E-2</v>
      </c>
      <c r="AQ105" s="417">
        <f t="shared" si="46"/>
        <v>1</v>
      </c>
      <c r="AR105" s="1086">
        <f t="shared" si="14"/>
        <v>883.79625620083186</v>
      </c>
      <c r="AS105" s="938">
        <f t="shared" si="15"/>
        <v>1120.8927521094104</v>
      </c>
      <c r="AT105" s="938">
        <f t="shared" si="16"/>
        <v>300.06594539102929</v>
      </c>
      <c r="AU105" s="938">
        <f t="shared" si="17"/>
        <v>0</v>
      </c>
      <c r="AV105" s="938">
        <f t="shared" si="18"/>
        <v>0</v>
      </c>
      <c r="AW105" s="938">
        <f t="shared" si="19"/>
        <v>0</v>
      </c>
      <c r="AX105" s="938">
        <f t="shared" si="20"/>
        <v>1681.2236401874</v>
      </c>
      <c r="AY105" s="938">
        <f t="shared" si="21"/>
        <v>176.82355985918841</v>
      </c>
      <c r="AZ105" s="938">
        <f t="shared" si="22"/>
        <v>159.30898410129143</v>
      </c>
      <c r="BA105" s="938">
        <f t="shared" si="23"/>
        <v>179.95652867845698</v>
      </c>
      <c r="BB105" s="938">
        <f t="shared" si="24"/>
        <v>66.989441222755701</v>
      </c>
      <c r="BC105" s="530">
        <f t="shared" si="47"/>
        <v>4569.0571077503646</v>
      </c>
      <c r="BD105" s="724">
        <f t="shared" si="48"/>
        <v>0</v>
      </c>
      <c r="BE105" s="436">
        <f t="shared" si="49"/>
        <v>0.1934307747438028</v>
      </c>
      <c r="BF105" s="624">
        <f t="shared" si="50"/>
        <v>0.24532255248201454</v>
      </c>
      <c r="BG105" s="624">
        <f t="shared" si="51"/>
        <v>6.5673494183742145E-2</v>
      </c>
      <c r="BH105" s="624">
        <f t="shared" si="52"/>
        <v>0</v>
      </c>
      <c r="BI105" s="624">
        <f t="shared" si="53"/>
        <v>0</v>
      </c>
      <c r="BJ105" s="624">
        <f t="shared" si="54"/>
        <v>0</v>
      </c>
      <c r="BK105" s="624">
        <f t="shared" si="55"/>
        <v>0.49557317859044042</v>
      </c>
      <c r="BL105" s="624">
        <f t="shared" si="56"/>
        <v>1</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79.393863791539559</v>
      </c>
      <c r="BW105" s="114">
        <f t="shared" si="59"/>
        <v>0.56579255878814827</v>
      </c>
      <c r="BX105" s="1695">
        <f t="shared" si="25"/>
        <v>40.955103194912731</v>
      </c>
      <c r="BY105" s="527">
        <f t="shared" si="60"/>
        <v>79.393863791539559</v>
      </c>
      <c r="BZ105" s="417">
        <f t="shared" si="61"/>
        <v>0.56579255878814827</v>
      </c>
      <c r="CA105" s="544">
        <f t="shared" si="26"/>
        <v>40.955103194912731</v>
      </c>
      <c r="CB105" s="649">
        <f t="shared" si="27"/>
        <v>0.21340254569298889</v>
      </c>
      <c r="CC105" s="525">
        <f t="shared" si="62"/>
        <v>0.27142825748973287</v>
      </c>
      <c r="CD105" s="417">
        <f t="shared" si="28"/>
        <v>0.21340254569298889</v>
      </c>
      <c r="CE105" s="525">
        <f t="shared" si="63"/>
        <v>0.27142825748973287</v>
      </c>
      <c r="CF105"/>
      <c r="CG105" s="527">
        <f t="shared" si="64"/>
        <v>1554.5079467360185</v>
      </c>
      <c r="CH105" s="528">
        <f t="shared" si="65"/>
        <v>656.27276464162196</v>
      </c>
      <c r="CI105" s="528">
        <f t="shared" si="66"/>
        <v>2566.8027206825914</v>
      </c>
      <c r="CJ105" s="528">
        <f t="shared" si="67"/>
        <v>3382.1185696713765</v>
      </c>
      <c r="CK105" s="528">
        <f t="shared" si="68"/>
        <v>42.524356871705834</v>
      </c>
      <c r="CL105" s="528">
        <f t="shared" si="69"/>
        <v>8202.2263586033132</v>
      </c>
      <c r="CM105" s="646">
        <f t="shared" si="70"/>
        <v>0</v>
      </c>
    </row>
    <row r="106" spans="1:91" s="4" customFormat="1">
      <c r="A106" s="150">
        <f>'Input data'!A126</f>
        <v>2026</v>
      </c>
      <c r="B106" s="1508">
        <f>'Input data'!B126</f>
        <v>63.420999999999999</v>
      </c>
      <c r="C106" s="1509">
        <f>'Input data'!C126</f>
        <v>3341.28</v>
      </c>
      <c r="D106" s="1509">
        <f>'Input data'!D126</f>
        <v>39969673.998818383</v>
      </c>
      <c r="E106" s="1457">
        <f t="shared" si="71"/>
        <v>0.91224615384615415</v>
      </c>
      <c r="F106" s="1451">
        <f t="shared" si="72"/>
        <v>0.3433576923076922</v>
      </c>
      <c r="G106" s="1556">
        <f>B106*F106*'Input data'!$C$9</f>
        <v>666.50208844796612</v>
      </c>
      <c r="H106" s="1551">
        <f>'Input data'!I126</f>
        <v>424.26313389388866</v>
      </c>
      <c r="I106" s="1559">
        <f>'Input data'!K126</f>
        <v>26907.192214684314</v>
      </c>
      <c r="J106" s="1559">
        <f t="shared" si="84"/>
        <v>4234.7358559637532</v>
      </c>
      <c r="K106" s="1513">
        <f t="shared" si="73"/>
        <v>8269.5327530490977</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199.45754627521751</v>
      </c>
      <c r="R106" s="1511">
        <f t="shared" si="32"/>
        <v>139.18767503742083</v>
      </c>
      <c r="S106" s="1511">
        <f t="shared" si="33"/>
        <v>407.59915414014858</v>
      </c>
      <c r="T106" s="1511">
        <f t="shared" si="34"/>
        <v>274.45175450333181</v>
      </c>
      <c r="U106" s="1513">
        <f t="shared" si="35"/>
        <v>0</v>
      </c>
      <c r="V106" s="1511">
        <f t="shared" si="9"/>
        <v>1020.6961299561187</v>
      </c>
      <c r="W106" s="1456">
        <f>($N$147-$N$142)/($A$107-$A$102)+W105</f>
        <v>0.5</v>
      </c>
      <c r="X106" s="530">
        <f t="shared" si="36"/>
        <v>3033.4882588631699</v>
      </c>
      <c r="Y106" s="528">
        <f t="shared" si="77"/>
        <v>4054.1843888192889</v>
      </c>
      <c r="Z106" s="528">
        <f t="shared" si="78"/>
        <v>8450.0842201935611</v>
      </c>
      <c r="AA106" s="530">
        <f t="shared" si="79"/>
        <v>4215.3483642298079</v>
      </c>
      <c r="AB106" s="1091">
        <f t="shared" si="37"/>
        <v>0.49885282257379077</v>
      </c>
      <c r="AC106" s="135" t="str">
        <f t="shared" si="38"/>
        <v>Yes</v>
      </c>
      <c r="AD106" s="1091">
        <f t="shared" si="39"/>
        <v>0.49885282257379077</v>
      </c>
      <c r="AE106" s="649">
        <f t="shared" si="10"/>
        <v>0.23044058777428511</v>
      </c>
      <c r="AF106" s="530">
        <f t="shared" si="11"/>
        <v>326.49568794842071</v>
      </c>
      <c r="AG106" s="527">
        <f t="shared" si="40"/>
        <v>4234.7358559637532</v>
      </c>
      <c r="AH106" s="528">
        <f t="shared" si="80"/>
        <v>8396.3493606116863</v>
      </c>
      <c r="AI106" s="528">
        <f t="shared" si="81"/>
        <v>6437.663217588939</v>
      </c>
      <c r="AJ106" s="528">
        <f t="shared" si="12"/>
        <v>1637.9345912124134</v>
      </c>
      <c r="AK106" s="528">
        <f t="shared" si="41"/>
        <v>20706.683025376791</v>
      </c>
      <c r="AL106" s="716">
        <f t="shared" si="13"/>
        <v>0</v>
      </c>
      <c r="AM106" s="417">
        <f t="shared" si="42"/>
        <v>0.20451058485677936</v>
      </c>
      <c r="AN106" s="417">
        <f t="shared" si="43"/>
        <v>0.40548982907217229</v>
      </c>
      <c r="AO106" s="417">
        <f t="shared" si="44"/>
        <v>0.31089784924506497</v>
      </c>
      <c r="AP106" s="417">
        <f t="shared" si="45"/>
        <v>7.9101736825983426E-2</v>
      </c>
      <c r="AQ106" s="417">
        <f t="shared" si="46"/>
        <v>1</v>
      </c>
      <c r="AR106" s="1086">
        <f t="shared" si="14"/>
        <v>833.82343446598816</v>
      </c>
      <c r="AS106" s="938">
        <f t="shared" si="15"/>
        <v>1057.5136946716366</v>
      </c>
      <c r="AT106" s="938">
        <f t="shared" si="16"/>
        <v>269.75364474093976</v>
      </c>
      <c r="AU106" s="938">
        <f t="shared" si="17"/>
        <v>0</v>
      </c>
      <c r="AV106" s="938">
        <f t="shared" si="18"/>
        <v>0</v>
      </c>
      <c r="AW106" s="938">
        <f t="shared" si="19"/>
        <v>0</v>
      </c>
      <c r="AX106" s="938">
        <f t="shared" si="20"/>
        <v>1573.6159051106085</v>
      </c>
      <c r="AY106" s="938">
        <f t="shared" si="21"/>
        <v>157.75547100043104</v>
      </c>
      <c r="AZ106" s="938">
        <f t="shared" si="22"/>
        <v>126.41596456587044</v>
      </c>
      <c r="BA106" s="938">
        <f t="shared" si="23"/>
        <v>153.1559998536267</v>
      </c>
      <c r="BB106" s="938">
        <f t="shared" si="24"/>
        <v>62.701741554651406</v>
      </c>
      <c r="BC106" s="530">
        <f t="shared" si="47"/>
        <v>4234.7358559637532</v>
      </c>
      <c r="BD106" s="724">
        <f t="shared" si="48"/>
        <v>0</v>
      </c>
      <c r="BE106" s="436">
        <f t="shared" si="49"/>
        <v>0.1969009314457523</v>
      </c>
      <c r="BF106" s="624">
        <f t="shared" si="50"/>
        <v>0.24972364998453123</v>
      </c>
      <c r="BG106" s="624">
        <f t="shared" si="51"/>
        <v>6.370022922705966E-2</v>
      </c>
      <c r="BH106" s="624">
        <f t="shared" si="52"/>
        <v>0</v>
      </c>
      <c r="BI106" s="624">
        <f t="shared" si="53"/>
        <v>0</v>
      </c>
      <c r="BJ106" s="624">
        <f t="shared" si="54"/>
        <v>0</v>
      </c>
      <c r="BK106" s="624">
        <f t="shared" si="55"/>
        <v>0.48967518934265669</v>
      </c>
      <c r="BL106" s="624">
        <f t="shared" si="56"/>
        <v>0.99999999999999978</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78.544213770689353</v>
      </c>
      <c r="BW106" s="114">
        <f t="shared" si="59"/>
        <v>0.58776150564330831</v>
      </c>
      <c r="BX106" s="1695">
        <f t="shared" si="25"/>
        <v>39.969673998818379</v>
      </c>
      <c r="BY106" s="527">
        <f t="shared" si="60"/>
        <v>78.544213770689353</v>
      </c>
      <c r="BZ106" s="417">
        <f t="shared" si="61"/>
        <v>0.58776150564330831</v>
      </c>
      <c r="CA106" s="544">
        <f t="shared" si="26"/>
        <v>39.969673998818379</v>
      </c>
      <c r="CB106" s="649">
        <f t="shared" si="27"/>
        <v>0.23044058777428511</v>
      </c>
      <c r="CC106" s="525">
        <f t="shared" si="62"/>
        <v>0.27820155971260785</v>
      </c>
      <c r="CD106" s="417">
        <f t="shared" si="28"/>
        <v>0.23044058777428511</v>
      </c>
      <c r="CE106" s="525">
        <f t="shared" si="63"/>
        <v>0.27820155971260785</v>
      </c>
      <c r="CF106"/>
      <c r="CG106" s="527">
        <f t="shared" si="64"/>
        <v>1591.9667119373773</v>
      </c>
      <c r="CH106" s="528">
        <f t="shared" si="65"/>
        <v>678.19597898260679</v>
      </c>
      <c r="CI106" s="528">
        <f t="shared" si="66"/>
        <v>2637.349609649149</v>
      </c>
      <c r="CJ106" s="528">
        <f t="shared" si="67"/>
        <v>3445.8942509862914</v>
      </c>
      <c r="CK106" s="528">
        <f t="shared" si="68"/>
        <v>42.942809056262533</v>
      </c>
      <c r="CL106" s="528">
        <f t="shared" si="69"/>
        <v>8396.3493606116881</v>
      </c>
      <c r="CM106" s="646">
        <f t="shared" si="70"/>
        <v>0</v>
      </c>
    </row>
    <row r="107" spans="1:91" s="464" customFormat="1">
      <c r="A107" s="150">
        <f>'Input data'!A127</f>
        <v>2027</v>
      </c>
      <c r="B107" s="1508">
        <f>'Input data'!B127</f>
        <v>64.046000000000006</v>
      </c>
      <c r="C107" s="1509">
        <f>'Input data'!C127</f>
        <v>3416.2799999999997</v>
      </c>
      <c r="D107" s="1509">
        <f>'Input data'!D127</f>
        <v>38984244.802724026</v>
      </c>
      <c r="E107" s="1457">
        <f t="shared" si="71"/>
        <v>0.93418461538461572</v>
      </c>
      <c r="F107" s="1451">
        <f t="shared" si="72"/>
        <v>0.34933076923076911</v>
      </c>
      <c r="G107" s="1556">
        <f>B107*F107*'Input data'!$C$9</f>
        <v>684.77910312064694</v>
      </c>
      <c r="H107" s="1551">
        <f>'Input data'!I127</f>
        <v>424.26313389388866</v>
      </c>
      <c r="I107" s="1559">
        <f>'Input data'!K127</f>
        <v>27172.356673367995</v>
      </c>
      <c r="J107" s="1559">
        <f>J97*(1-$G$5)</f>
        <v>3900.4146041771414</v>
      </c>
      <c r="K107" s="1513">
        <f t="shared" si="73"/>
        <v>8727.0808205691883</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223.80350722846038</v>
      </c>
      <c r="R107" s="1511">
        <f t="shared" si="32"/>
        <v>156.17704327600302</v>
      </c>
      <c r="S107" s="1511">
        <f t="shared" si="33"/>
        <v>457.3510601301</v>
      </c>
      <c r="T107" s="1511">
        <f t="shared" si="34"/>
        <v>307.9515735047521</v>
      </c>
      <c r="U107" s="1513">
        <f t="shared" si="35"/>
        <v>0</v>
      </c>
      <c r="V107" s="1511">
        <f t="shared" si="9"/>
        <v>1145.2831841393154</v>
      </c>
      <c r="W107" s="1456">
        <f>$C$27</f>
        <v>0.5</v>
      </c>
      <c r="X107" s="530">
        <f t="shared" si="36"/>
        <v>3033.4882588631699</v>
      </c>
      <c r="Y107" s="528">
        <f t="shared" si="77"/>
        <v>4178.7714430024853</v>
      </c>
      <c r="Z107" s="528">
        <f t="shared" si="78"/>
        <v>8448.7239817438458</v>
      </c>
      <c r="AA107" s="530">
        <f t="shared" si="79"/>
        <v>4548.3093775667039</v>
      </c>
      <c r="AB107" s="1091">
        <f t="shared" si="37"/>
        <v>0.53834275890593331</v>
      </c>
      <c r="AC107" s="135" t="str">
        <f t="shared" si="38"/>
        <v>Yes</v>
      </c>
      <c r="AD107" s="1091">
        <f t="shared" si="39"/>
        <v>0.53834275890593331</v>
      </c>
      <c r="AE107" s="649">
        <f t="shared" si="10"/>
        <v>0.24719683589081587</v>
      </c>
      <c r="AF107" s="530">
        <f t="shared" si="11"/>
        <v>319.38662961019782</v>
      </c>
      <c r="AG107" s="527">
        <f t="shared" si="40"/>
        <v>3900.4146041771414</v>
      </c>
      <c r="AH107" s="528">
        <f t="shared" si="80"/>
        <v>8593.6218544624971</v>
      </c>
      <c r="AI107" s="528">
        <f t="shared" si="81"/>
        <v>6437.663217588939</v>
      </c>
      <c r="AJ107" s="528">
        <f t="shared" si="12"/>
        <v>1523.736403786151</v>
      </c>
      <c r="AK107" s="528">
        <f t="shared" si="41"/>
        <v>20455.43608001473</v>
      </c>
      <c r="AL107" s="716">
        <f t="shared" si="13"/>
        <v>0</v>
      </c>
      <c r="AM107" s="417">
        <f t="shared" si="42"/>
        <v>0.19067863373433067</v>
      </c>
      <c r="AN107" s="417">
        <f t="shared" si="43"/>
        <v>0.4201143315081215</v>
      </c>
      <c r="AO107" s="417">
        <f t="shared" si="44"/>
        <v>0.31471649846070177</v>
      </c>
      <c r="AP107" s="417">
        <f t="shared" si="45"/>
        <v>7.449053629684603E-2</v>
      </c>
      <c r="AQ107" s="417">
        <f t="shared" si="46"/>
        <v>1</v>
      </c>
      <c r="AR107" s="1086">
        <f t="shared" si="14"/>
        <v>781.77290622668352</v>
      </c>
      <c r="AS107" s="938">
        <f t="shared" si="15"/>
        <v>991.49954329052309</v>
      </c>
      <c r="AT107" s="938">
        <f t="shared" si="16"/>
        <v>240.61414111356493</v>
      </c>
      <c r="AU107" s="938">
        <f t="shared" si="17"/>
        <v>0</v>
      </c>
      <c r="AV107" s="938">
        <f t="shared" si="18"/>
        <v>0</v>
      </c>
      <c r="AW107" s="938">
        <f t="shared" si="19"/>
        <v>0</v>
      </c>
      <c r="AX107" s="938">
        <f t="shared" si="20"/>
        <v>1463.9020709728541</v>
      </c>
      <c r="AY107" s="938">
        <f t="shared" si="21"/>
        <v>139.54659961312186</v>
      </c>
      <c r="AZ107" s="938">
        <f t="shared" si="22"/>
        <v>96.488193548315877</v>
      </c>
      <c r="BA107" s="938">
        <f t="shared" si="23"/>
        <v>128.2610264021624</v>
      </c>
      <c r="BB107" s="938">
        <f t="shared" si="24"/>
        <v>58.33012300991394</v>
      </c>
      <c r="BC107" s="530">
        <f t="shared" si="47"/>
        <v>3900.4146041771401</v>
      </c>
      <c r="BD107" s="724">
        <f t="shared" si="48"/>
        <v>0</v>
      </c>
      <c r="BE107" s="436">
        <f t="shared" si="49"/>
        <v>0.20043328352566561</v>
      </c>
      <c r="BF107" s="624">
        <f t="shared" si="50"/>
        <v>0.25420362805243291</v>
      </c>
      <c r="BG107" s="624">
        <f t="shared" si="51"/>
        <v>6.1689375497640628E-2</v>
      </c>
      <c r="BH107" s="624">
        <f t="shared" si="52"/>
        <v>0</v>
      </c>
      <c r="BI107" s="624">
        <f t="shared" si="53"/>
        <v>0</v>
      </c>
      <c r="BJ107" s="624">
        <f t="shared" si="54"/>
        <v>0</v>
      </c>
      <c r="BK107" s="624">
        <f t="shared" si="55"/>
        <v>0.4836737129242607</v>
      </c>
      <c r="BL107" s="624">
        <f t="shared" si="56"/>
        <v>0.99999999999999978</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77.691730358063538</v>
      </c>
      <c r="BW107" s="114">
        <f t="shared" si="59"/>
        <v>0.60953628978376417</v>
      </c>
      <c r="BX107" s="1695">
        <f t="shared" si="25"/>
        <v>38.984244802724028</v>
      </c>
      <c r="BY107" s="527">
        <f t="shared" si="60"/>
        <v>77.691730358063538</v>
      </c>
      <c r="BZ107" s="417">
        <f t="shared" si="61"/>
        <v>0.60953628978376417</v>
      </c>
      <c r="CA107" s="544">
        <f t="shared" si="26"/>
        <v>38.984244802724028</v>
      </c>
      <c r="CB107" s="649">
        <f t="shared" si="27"/>
        <v>0.24719683589081587</v>
      </c>
      <c r="CC107" s="525">
        <f t="shared" si="62"/>
        <v>0.28495547475082317</v>
      </c>
      <c r="CD107" s="417">
        <f t="shared" si="28"/>
        <v>0.24719683589081587</v>
      </c>
      <c r="CE107" s="525">
        <f t="shared" si="63"/>
        <v>0.28495547475082317</v>
      </c>
      <c r="CF107" s="1"/>
      <c r="CG107" s="527">
        <f t="shared" si="64"/>
        <v>1630.0355443139479</v>
      </c>
      <c r="CH107" s="528">
        <f t="shared" si="65"/>
        <v>700.49715545451465</v>
      </c>
      <c r="CI107" s="528">
        <f t="shared" si="66"/>
        <v>2709.0752157493653</v>
      </c>
      <c r="CJ107" s="528">
        <f t="shared" si="67"/>
        <v>3510.647937954187</v>
      </c>
      <c r="CK107" s="528">
        <f t="shared" si="68"/>
        <v>43.366000990482497</v>
      </c>
      <c r="CL107" s="528">
        <f t="shared" si="69"/>
        <v>8593.621854462499</v>
      </c>
      <c r="CM107" s="646">
        <f t="shared" si="70"/>
        <v>0</v>
      </c>
    </row>
    <row r="108" spans="1:91" s="4" customFormat="1">
      <c r="A108" s="150">
        <f>'Input data'!A128</f>
        <v>2028</v>
      </c>
      <c r="B108" s="1508">
        <f>'Input data'!B128</f>
        <v>64.676000000000002</v>
      </c>
      <c r="C108" s="1509">
        <f>'Input data'!C128</f>
        <v>3494.8800000000006</v>
      </c>
      <c r="D108" s="1509">
        <f>'Input data'!D128</f>
        <v>37998815.60662967</v>
      </c>
      <c r="E108" s="1457">
        <f t="shared" si="71"/>
        <v>0.9561230769230773</v>
      </c>
      <c r="F108" s="1451">
        <f t="shared" si="72"/>
        <v>0.35530384615384603</v>
      </c>
      <c r="G108" s="1556">
        <f>B108*F108*'Input data'!$C$9</f>
        <v>703.33901475004564</v>
      </c>
      <c r="H108" s="1551">
        <f>'Input data'!I128</f>
        <v>424.26313389388866</v>
      </c>
      <c r="I108" s="1559">
        <f>'Input data'!K128</f>
        <v>27439.642447721144</v>
      </c>
      <c r="J108" s="1559">
        <f>($J$112-$J$107)/($A$112-$A$107)+J107</f>
        <v>3566.0933523905292</v>
      </c>
      <c r="K108" s="1513">
        <f t="shared" si="73"/>
        <v>9185.6147026151484</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248.60548975515553</v>
      </c>
      <c r="R108" s="1511">
        <f t="shared" si="32"/>
        <v>173.48463754193301</v>
      </c>
      <c r="S108" s="1511">
        <f t="shared" si="33"/>
        <v>508.03486371470171</v>
      </c>
      <c r="T108" s="1511">
        <f t="shared" si="34"/>
        <v>342.07887400919162</v>
      </c>
      <c r="U108" s="1513">
        <f t="shared" si="35"/>
        <v>0</v>
      </c>
      <c r="V108" s="1511">
        <f t="shared" si="9"/>
        <v>1272.203865020982</v>
      </c>
      <c r="W108" s="1456">
        <f>W107</f>
        <v>0.5</v>
      </c>
      <c r="X108" s="530">
        <f t="shared" si="36"/>
        <v>3033.4882588631699</v>
      </c>
      <c r="Y108" s="528">
        <f t="shared" si="77"/>
        <v>4305.6921238841514</v>
      </c>
      <c r="Z108" s="528">
        <f t="shared" si="78"/>
        <v>8446.0159311215266</v>
      </c>
      <c r="AA108" s="530">
        <f t="shared" si="79"/>
        <v>4879.922578730997</v>
      </c>
      <c r="AB108" s="1091">
        <f t="shared" si="37"/>
        <v>0.57777804571142977</v>
      </c>
      <c r="AC108" s="135" t="str">
        <f t="shared" si="38"/>
        <v>Yes</v>
      </c>
      <c r="AD108" s="1091">
        <f t="shared" si="39"/>
        <v>0.57777804571142977</v>
      </c>
      <c r="AE108" s="649">
        <f t="shared" si="10"/>
        <v>0.26366200487589864</v>
      </c>
      <c r="AF108" s="530">
        <f t="shared" si="11"/>
        <v>312.40106541649413</v>
      </c>
      <c r="AG108" s="527">
        <f t="shared" si="40"/>
        <v>3566.0933523905292</v>
      </c>
      <c r="AH108" s="528">
        <f t="shared" si="80"/>
        <v>8793.8094585291183</v>
      </c>
      <c r="AI108" s="528">
        <f t="shared" si="81"/>
        <v>6437.663217588939</v>
      </c>
      <c r="AJ108" s="528">
        <f t="shared" si="12"/>
        <v>1407.2852783685898</v>
      </c>
      <c r="AK108" s="528">
        <f t="shared" si="41"/>
        <v>20204.851306877175</v>
      </c>
      <c r="AL108" s="716">
        <f t="shared" si="13"/>
        <v>0</v>
      </c>
      <c r="AM108" s="417">
        <f t="shared" si="42"/>
        <v>0.17649688672426553</v>
      </c>
      <c r="AN108" s="417">
        <f t="shared" si="43"/>
        <v>0.43523257483889266</v>
      </c>
      <c r="AO108" s="417">
        <f t="shared" si="44"/>
        <v>0.3186196780076147</v>
      </c>
      <c r="AP108" s="417">
        <f t="shared" si="45"/>
        <v>6.9650860429227149E-2</v>
      </c>
      <c r="AQ108" s="417">
        <f t="shared" si="46"/>
        <v>1</v>
      </c>
      <c r="AR108" s="1086">
        <f t="shared" si="14"/>
        <v>727.58052780560331</v>
      </c>
      <c r="AS108" s="938">
        <f t="shared" si="15"/>
        <v>922.76894643002311</v>
      </c>
      <c r="AT108" s="938">
        <f t="shared" si="16"/>
        <v>212.68284627613082</v>
      </c>
      <c r="AU108" s="938">
        <f t="shared" si="17"/>
        <v>0</v>
      </c>
      <c r="AV108" s="938">
        <f t="shared" si="18"/>
        <v>0</v>
      </c>
      <c r="AW108" s="938">
        <f t="shared" si="19"/>
        <v>0</v>
      </c>
      <c r="AX108" s="938">
        <f t="shared" si="20"/>
        <v>1352.0237675850115</v>
      </c>
      <c r="AY108" s="938">
        <f t="shared" si="21"/>
        <v>122.22278798462894</v>
      </c>
      <c r="AZ108" s="938">
        <f t="shared" si="22"/>
        <v>69.613794809774362</v>
      </c>
      <c r="BA108" s="938">
        <f t="shared" si="23"/>
        <v>105.32842170867798</v>
      </c>
      <c r="BB108" s="938">
        <f t="shared" si="24"/>
        <v>53.872259790677923</v>
      </c>
      <c r="BC108" s="530">
        <f t="shared" si="47"/>
        <v>3566.0933523905283</v>
      </c>
      <c r="BD108" s="724">
        <f t="shared" si="48"/>
        <v>0</v>
      </c>
      <c r="BE108" s="436">
        <f t="shared" si="49"/>
        <v>0.20402733633371381</v>
      </c>
      <c r="BF108" s="624">
        <f t="shared" si="50"/>
        <v>0.25876185933591606</v>
      </c>
      <c r="BG108" s="624">
        <f t="shared" si="51"/>
        <v>5.9640291282211953E-2</v>
      </c>
      <c r="BH108" s="624">
        <f t="shared" si="52"/>
        <v>0</v>
      </c>
      <c r="BI108" s="624">
        <f t="shared" si="53"/>
        <v>0</v>
      </c>
      <c r="BJ108" s="624">
        <f t="shared" si="54"/>
        <v>0</v>
      </c>
      <c r="BK108" s="624">
        <f t="shared" si="55"/>
        <v>0.47757051304815806</v>
      </c>
      <c r="BL108" s="624">
        <f t="shared" si="56"/>
        <v>0.99999999999999978</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76.858350368646072</v>
      </c>
      <c r="BW108" s="114">
        <f t="shared" si="59"/>
        <v>0.63121814481697958</v>
      </c>
      <c r="BX108" s="1695">
        <f t="shared" si="25"/>
        <v>37.99881560662967</v>
      </c>
      <c r="BY108" s="527">
        <f t="shared" si="60"/>
        <v>76.858350368646072</v>
      </c>
      <c r="BZ108" s="417">
        <f t="shared" si="61"/>
        <v>0.63121814481697958</v>
      </c>
      <c r="CA108" s="544">
        <f t="shared" si="26"/>
        <v>37.99881560662967</v>
      </c>
      <c r="CB108" s="649">
        <f t="shared" si="27"/>
        <v>0.26366200487589864</v>
      </c>
      <c r="CC108" s="525">
        <f t="shared" si="62"/>
        <v>0.29187613713108251</v>
      </c>
      <c r="CD108" s="417">
        <f t="shared" si="28"/>
        <v>0.26366200487589864</v>
      </c>
      <c r="CE108" s="525">
        <f t="shared" si="63"/>
        <v>0.29187613713108251</v>
      </c>
      <c r="CF108"/>
      <c r="CG108" s="527">
        <f t="shared" si="64"/>
        <v>1668.6701812353569</v>
      </c>
      <c r="CH108" s="528">
        <f t="shared" si="65"/>
        <v>723.15905241963685</v>
      </c>
      <c r="CI108" s="528">
        <f t="shared" si="66"/>
        <v>2781.908509045114</v>
      </c>
      <c r="CJ108" s="528">
        <f t="shared" si="67"/>
        <v>3576.2791373688342</v>
      </c>
      <c r="CK108" s="528">
        <f t="shared" si="68"/>
        <v>43.792578460176216</v>
      </c>
      <c r="CL108" s="528">
        <f t="shared" si="69"/>
        <v>8793.8094585291183</v>
      </c>
      <c r="CM108" s="646">
        <f t="shared" si="70"/>
        <v>0</v>
      </c>
    </row>
    <row r="109" spans="1:91" s="4" customFormat="1">
      <c r="A109" s="150">
        <f>'Input data'!A129</f>
        <v>2029</v>
      </c>
      <c r="B109" s="1508">
        <f>'Input data'!B129</f>
        <v>65.313000000000002</v>
      </c>
      <c r="C109" s="1509">
        <f>'Input data'!C129</f>
        <v>3576.08</v>
      </c>
      <c r="D109" s="1509">
        <f>'Input data'!D129</f>
        <v>37013386.410535313</v>
      </c>
      <c r="E109" s="1457">
        <f t="shared" si="71"/>
        <v>0.97806153846153887</v>
      </c>
      <c r="F109" s="1451">
        <f t="shared" si="72"/>
        <v>0.36127692307692294</v>
      </c>
      <c r="G109" s="1556">
        <f>B109*F109*'Input data'!$C$9</f>
        <v>722.20668086181445</v>
      </c>
      <c r="H109" s="1551">
        <f>'Input data'!I129</f>
        <v>424.26313389388866</v>
      </c>
      <c r="I109" s="1559">
        <f>'Input data'!K129</f>
        <v>27709.898064011551</v>
      </c>
      <c r="J109" s="1559">
        <f t="shared" ref="J109:J111" si="85">($J$112-$J$107)/($A$112-$A$107)+J108</f>
        <v>3231.7721006039169</v>
      </c>
      <c r="K109" s="1513">
        <f t="shared" si="73"/>
        <v>9645.5287249973226</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273.87712208623361</v>
      </c>
      <c r="R109" s="1511">
        <f t="shared" si="32"/>
        <v>191.11996803832699</v>
      </c>
      <c r="S109" s="1511">
        <f t="shared" si="33"/>
        <v>559.6784147071271</v>
      </c>
      <c r="T109" s="1511">
        <f t="shared" si="34"/>
        <v>376.85240833743046</v>
      </c>
      <c r="U109" s="1513">
        <f t="shared" si="35"/>
        <v>0</v>
      </c>
      <c r="V109" s="1511">
        <f t="shared" si="9"/>
        <v>1401.5279131691182</v>
      </c>
      <c r="W109" s="1456">
        <f t="shared" ref="W109:W130" si="86">W108</f>
        <v>0.5</v>
      </c>
      <c r="X109" s="530">
        <f t="shared" si="36"/>
        <v>3033.4882588631699</v>
      </c>
      <c r="Y109" s="528">
        <f t="shared" si="77"/>
        <v>4435.0161720322885</v>
      </c>
      <c r="Z109" s="528">
        <f t="shared" si="78"/>
        <v>8442.2846535689514</v>
      </c>
      <c r="AA109" s="530">
        <f t="shared" si="79"/>
        <v>5210.512552965034</v>
      </c>
      <c r="AB109" s="1091">
        <f t="shared" si="37"/>
        <v>0.6171922372650992</v>
      </c>
      <c r="AC109" s="135" t="str">
        <f t="shared" si="38"/>
        <v>Yes</v>
      </c>
      <c r="AD109" s="1091">
        <f t="shared" si="39"/>
        <v>0.6171922372650992</v>
      </c>
      <c r="AE109" s="649">
        <f t="shared" si="10"/>
        <v>0.27985543822013526</v>
      </c>
      <c r="AF109" s="530">
        <f t="shared" si="11"/>
        <v>305.53078863736653</v>
      </c>
      <c r="AG109" s="527">
        <f t="shared" si="40"/>
        <v>3231.7721006039169</v>
      </c>
      <c r="AH109" s="528">
        <f t="shared" si="80"/>
        <v>8997.2145067864876</v>
      </c>
      <c r="AI109" s="528">
        <f t="shared" si="81"/>
        <v>6437.663217588939</v>
      </c>
      <c r="AJ109" s="528">
        <f t="shared" si="12"/>
        <v>1288.4825732929773</v>
      </c>
      <c r="AK109" s="528">
        <f t="shared" si="41"/>
        <v>19955.132398272322</v>
      </c>
      <c r="AL109" s="716">
        <f t="shared" si="13"/>
        <v>0</v>
      </c>
      <c r="AM109" s="417">
        <f t="shared" si="42"/>
        <v>0.16195192475313858</v>
      </c>
      <c r="AN109" s="417">
        <f t="shared" si="43"/>
        <v>0.45087220306117587</v>
      </c>
      <c r="AO109" s="417">
        <f t="shared" si="44"/>
        <v>0.32260689075389448</v>
      </c>
      <c r="AP109" s="417">
        <f t="shared" si="45"/>
        <v>6.4568981431791031E-2</v>
      </c>
      <c r="AQ109" s="417">
        <f t="shared" si="46"/>
        <v>1</v>
      </c>
      <c r="AR109" s="1086">
        <f t="shared" si="14"/>
        <v>671.20059537621046</v>
      </c>
      <c r="AS109" s="938">
        <f t="shared" si="15"/>
        <v>851.2639392735266</v>
      </c>
      <c r="AT109" s="938">
        <f t="shared" si="16"/>
        <v>185.99135110740426</v>
      </c>
      <c r="AU109" s="938">
        <f t="shared" si="17"/>
        <v>0</v>
      </c>
      <c r="AV109" s="938">
        <f t="shared" si="18"/>
        <v>0</v>
      </c>
      <c r="AW109" s="938">
        <f t="shared" si="19"/>
        <v>0</v>
      </c>
      <c r="AX109" s="938">
        <f t="shared" si="20"/>
        <v>1237.8862267575926</v>
      </c>
      <c r="AY109" s="938">
        <f t="shared" si="21"/>
        <v>105.80791723717968</v>
      </c>
      <c r="AZ109" s="938">
        <f t="shared" si="22"/>
        <v>45.882910506411349</v>
      </c>
      <c r="BA109" s="938">
        <f t="shared" si="23"/>
        <v>84.414784548334296</v>
      </c>
      <c r="BB109" s="938">
        <f t="shared" si="24"/>
        <v>49.324375797257524</v>
      </c>
      <c r="BC109" s="530">
        <f t="shared" si="47"/>
        <v>3231.7721006039169</v>
      </c>
      <c r="BD109" s="724">
        <f t="shared" si="48"/>
        <v>0</v>
      </c>
      <c r="BE109" s="436">
        <f t="shared" si="49"/>
        <v>0.20768809633909027</v>
      </c>
      <c r="BF109" s="624">
        <f t="shared" si="50"/>
        <v>0.26340469339235029</v>
      </c>
      <c r="BG109" s="624">
        <f t="shared" si="51"/>
        <v>5.7550887042018932E-2</v>
      </c>
      <c r="BH109" s="624">
        <f t="shared" si="52"/>
        <v>0</v>
      </c>
      <c r="BI109" s="624">
        <f t="shared" si="53"/>
        <v>0</v>
      </c>
      <c r="BJ109" s="624">
        <f t="shared" si="54"/>
        <v>0</v>
      </c>
      <c r="BK109" s="624">
        <f t="shared" si="55"/>
        <v>0.47135632322654053</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76.039154925027447</v>
      </c>
      <c r="BW109" s="114">
        <f t="shared" si="59"/>
        <v>0.65276521430474455</v>
      </c>
      <c r="BX109" s="1695">
        <f t="shared" si="25"/>
        <v>37.013386410535311</v>
      </c>
      <c r="BY109" s="527">
        <f t="shared" si="60"/>
        <v>76.039154925027447</v>
      </c>
      <c r="BZ109" s="417">
        <f t="shared" si="61"/>
        <v>0.65276521430474455</v>
      </c>
      <c r="CA109" s="544">
        <f t="shared" si="26"/>
        <v>37.013386410535311</v>
      </c>
      <c r="CB109" s="649">
        <f t="shared" si="27"/>
        <v>0.27985543822013526</v>
      </c>
      <c r="CC109" s="525">
        <f t="shared" si="62"/>
        <v>0.29891127587696775</v>
      </c>
      <c r="CD109" s="417">
        <f t="shared" si="28"/>
        <v>0.27985543822013526</v>
      </c>
      <c r="CE109" s="525">
        <f t="shared" si="63"/>
        <v>0.29891127587696775</v>
      </c>
      <c r="CF109"/>
      <c r="CG109" s="527">
        <f t="shared" si="64"/>
        <v>1707.9281641210907</v>
      </c>
      <c r="CH109" s="528">
        <f t="shared" si="65"/>
        <v>746.20817786743646</v>
      </c>
      <c r="CI109" s="528">
        <f t="shared" si="66"/>
        <v>2855.9476551899215</v>
      </c>
      <c r="CJ109" s="528">
        <f t="shared" si="67"/>
        <v>3642.9066139285046</v>
      </c>
      <c r="CK109" s="528">
        <f t="shared" si="68"/>
        <v>44.2238956795332</v>
      </c>
      <c r="CL109" s="528">
        <f t="shared" si="69"/>
        <v>8997.2145067864876</v>
      </c>
      <c r="CM109" s="646">
        <f t="shared" si="70"/>
        <v>0</v>
      </c>
    </row>
    <row r="110" spans="1:91" s="464" customFormat="1">
      <c r="A110" s="150">
        <f>'Input data'!A130</f>
        <v>2030</v>
      </c>
      <c r="B110" s="1508">
        <f>'Input data'!B130</f>
        <v>65.956000000000003</v>
      </c>
      <c r="C110" s="1509">
        <f>'Input data'!C130</f>
        <v>3660.12</v>
      </c>
      <c r="D110" s="1509">
        <f>'Input data'!D130</f>
        <v>36027957.214440949</v>
      </c>
      <c r="E110" s="1457">
        <f>C52</f>
        <v>1</v>
      </c>
      <c r="F110" s="1451">
        <f>D52</f>
        <v>0.36725000000000002</v>
      </c>
      <c r="G110" s="1556">
        <f>B110*F110*'Input data'!$C$9</f>
        <v>741.37470019741022</v>
      </c>
      <c r="H110" s="1551">
        <f>'Input data'!I130</f>
        <v>424.26313389388866</v>
      </c>
      <c r="I110" s="1559">
        <f>'Input data'!K130</f>
        <v>27982.69925910532</v>
      </c>
      <c r="J110" s="1559">
        <f t="shared" si="85"/>
        <v>2897.4508488173046</v>
      </c>
      <c r="K110" s="1513">
        <f t="shared" si="73"/>
        <v>10106.625724810539</v>
      </c>
      <c r="L110" s="1451">
        <f>C19</f>
        <v>0.7</v>
      </c>
      <c r="M110" s="1451">
        <f>D19</f>
        <v>0.6</v>
      </c>
      <c r="N110" s="1451">
        <f>E19</f>
        <v>0.9</v>
      </c>
      <c r="O110" s="1451">
        <f>F19</f>
        <v>0.9</v>
      </c>
      <c r="P110" s="1451">
        <f>G19</f>
        <v>0.23600000000000002</v>
      </c>
      <c r="Q110" s="1510">
        <f t="shared" si="31"/>
        <v>299.62119975624341</v>
      </c>
      <c r="R110" s="1511">
        <f t="shared" si="32"/>
        <v>209.08498557608095</v>
      </c>
      <c r="S110" s="1511">
        <f t="shared" si="33"/>
        <v>612.28742588956766</v>
      </c>
      <c r="T110" s="1511">
        <f t="shared" si="34"/>
        <v>412.27602311937289</v>
      </c>
      <c r="U110" s="1513">
        <f t="shared" si="35"/>
        <v>0</v>
      </c>
      <c r="V110" s="1511">
        <f t="shared" si="9"/>
        <v>1533.2696343412649</v>
      </c>
      <c r="W110" s="1456">
        <f t="shared" si="86"/>
        <v>0.5</v>
      </c>
      <c r="X110" s="530">
        <f t="shared" si="36"/>
        <v>3033.4882588631699</v>
      </c>
      <c r="Y110" s="528">
        <f t="shared" si="77"/>
        <v>4566.7578932044344</v>
      </c>
      <c r="Z110" s="528">
        <f t="shared" si="78"/>
        <v>8437.3186804234101</v>
      </c>
      <c r="AA110" s="530">
        <f t="shared" si="79"/>
        <v>5539.867831606105</v>
      </c>
      <c r="AB110" s="1091">
        <f t="shared" si="37"/>
        <v>0.65659103815290498</v>
      </c>
      <c r="AC110" s="135" t="str">
        <f t="shared" si="38"/>
        <v>Yes</v>
      </c>
      <c r="AD110" s="1091">
        <f t="shared" si="39"/>
        <v>0.65659103815290498</v>
      </c>
      <c r="AE110" s="649">
        <f t="shared" si="10"/>
        <v>0.29577559635585604</v>
      </c>
      <c r="AF110" s="530">
        <f t="shared" si="11"/>
        <v>298.77645245461935</v>
      </c>
      <c r="AG110" s="527">
        <f t="shared" si="40"/>
        <v>2897.4508488173046</v>
      </c>
      <c r="AH110" s="528">
        <f t="shared" si="80"/>
        <v>9203.7350082886751</v>
      </c>
      <c r="AI110" s="528">
        <f t="shared" si="81"/>
        <v>6437.663217588939</v>
      </c>
      <c r="AJ110" s="528">
        <f t="shared" si="12"/>
        <v>1167.2506234019572</v>
      </c>
      <c r="AK110" s="528">
        <f t="shared" si="41"/>
        <v>19706.099698096874</v>
      </c>
      <c r="AL110" s="716">
        <f t="shared" si="13"/>
        <v>0</v>
      </c>
      <c r="AM110" s="417">
        <f t="shared" si="42"/>
        <v>0.14703319749758129</v>
      </c>
      <c r="AN110" s="417">
        <f t="shared" si="43"/>
        <v>0.4670500580679357</v>
      </c>
      <c r="AO110" s="417">
        <f t="shared" si="44"/>
        <v>0.32668378401691833</v>
      </c>
      <c r="AP110" s="417">
        <f t="shared" si="45"/>
        <v>5.9232960417564769E-2</v>
      </c>
      <c r="AQ110" s="417">
        <f t="shared" si="46"/>
        <v>1.0000000000000002</v>
      </c>
      <c r="AR110" s="1086">
        <f t="shared" si="14"/>
        <v>612.56942184236789</v>
      </c>
      <c r="AS110" s="938">
        <f t="shared" si="15"/>
        <v>776.90374935344244</v>
      </c>
      <c r="AT110" s="938">
        <f t="shared" si="16"/>
        <v>160.57680764265749</v>
      </c>
      <c r="AU110" s="938">
        <f t="shared" si="17"/>
        <v>0</v>
      </c>
      <c r="AV110" s="938">
        <f t="shared" si="18"/>
        <v>0</v>
      </c>
      <c r="AW110" s="938">
        <f t="shared" si="19"/>
        <v>0</v>
      </c>
      <c r="AX110" s="938">
        <f t="shared" si="20"/>
        <v>1121.4148331014696</v>
      </c>
      <c r="AY110" s="938">
        <f t="shared" si="21"/>
        <v>90.329358803422053</v>
      </c>
      <c r="AZ110" s="938">
        <f t="shared" si="22"/>
        <v>25.391606491611508</v>
      </c>
      <c r="BA110" s="938">
        <f t="shared" si="23"/>
        <v>65.581573651025906</v>
      </c>
      <c r="BB110" s="938">
        <f t="shared" si="24"/>
        <v>44.683497931306519</v>
      </c>
      <c r="BC110" s="530">
        <f t="shared" si="47"/>
        <v>2897.4508488173033</v>
      </c>
      <c r="BD110" s="724">
        <f t="shared" si="48"/>
        <v>0</v>
      </c>
      <c r="BE110" s="436">
        <f t="shared" si="49"/>
        <v>0.2114166741059334</v>
      </c>
      <c r="BF110" s="624">
        <f t="shared" si="50"/>
        <v>0.268133538717512</v>
      </c>
      <c r="BG110" s="624">
        <f t="shared" si="51"/>
        <v>5.5420028163101563E-2</v>
      </c>
      <c r="BH110" s="624">
        <f t="shared" si="52"/>
        <v>0</v>
      </c>
      <c r="BI110" s="624">
        <f t="shared" si="53"/>
        <v>0</v>
      </c>
      <c r="BJ110" s="624">
        <f t="shared" si="54"/>
        <v>0</v>
      </c>
      <c r="BK110" s="624">
        <f t="shared" si="55"/>
        <v>0.46502975901345311</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75.235193787836593</v>
      </c>
      <c r="BW110" s="114">
        <f t="shared" si="59"/>
        <v>0.67416545444659792</v>
      </c>
      <c r="BX110" s="1695">
        <f t="shared" si="25"/>
        <v>36.027957214440953</v>
      </c>
      <c r="BY110" s="527">
        <f t="shared" si="60"/>
        <v>75.235193787836593</v>
      </c>
      <c r="BZ110" s="417">
        <f t="shared" si="61"/>
        <v>0.67416545444659792</v>
      </c>
      <c r="CA110" s="544">
        <f t="shared" si="26"/>
        <v>36.027957214440953</v>
      </c>
      <c r="CB110" s="649">
        <f t="shared" si="27"/>
        <v>0.29577559635585604</v>
      </c>
      <c r="CC110" s="525">
        <f t="shared" si="62"/>
        <v>0.30606234123981113</v>
      </c>
      <c r="CD110" s="417">
        <f t="shared" si="28"/>
        <v>0.29577559635585604</v>
      </c>
      <c r="CE110" s="525">
        <f t="shared" si="63"/>
        <v>0.30606234123981113</v>
      </c>
      <c r="CF110" s="1"/>
      <c r="CG110" s="527">
        <f t="shared" si="64"/>
        <v>1747.7903319114196</v>
      </c>
      <c r="CH110" s="528">
        <f t="shared" si="65"/>
        <v>769.63798371563564</v>
      </c>
      <c r="CI110" s="528">
        <f t="shared" si="66"/>
        <v>2931.1632090458033</v>
      </c>
      <c r="CJ110" s="528">
        <f t="shared" si="67"/>
        <v>3710.484208074357</v>
      </c>
      <c r="CK110" s="528">
        <f t="shared" si="68"/>
        <v>44.65927554145869</v>
      </c>
      <c r="CL110" s="528">
        <f t="shared" si="69"/>
        <v>9203.7350082886733</v>
      </c>
      <c r="CM110" s="646">
        <f t="shared" si="70"/>
        <v>0</v>
      </c>
    </row>
    <row r="111" spans="1:91" s="4" customFormat="1">
      <c r="A111" s="150">
        <f>'Input data'!A131</f>
        <v>2031</v>
      </c>
      <c r="B111" s="1508">
        <f>'Input data'!B131</f>
        <v>66.519000000000005</v>
      </c>
      <c r="C111" s="1509">
        <f>'Input data'!C131</f>
        <v>3761.03</v>
      </c>
      <c r="D111" s="1509">
        <f>'Input data'!D131</f>
        <v>35846430.699385166</v>
      </c>
      <c r="E111" s="1457">
        <f>E110</f>
        <v>1</v>
      </c>
      <c r="F111" s="1451">
        <f>F110</f>
        <v>0.36725000000000002</v>
      </c>
      <c r="G111" s="1556">
        <f>B111*F111*'Input data'!$C$9</f>
        <v>747.70306996227077</v>
      </c>
      <c r="H111" s="1551">
        <f>'Input data'!I131</f>
        <v>424.26313389388866</v>
      </c>
      <c r="I111" s="1559">
        <f>'Input data'!K131</f>
        <v>28221.559403487583</v>
      </c>
      <c r="J111" s="1559">
        <f t="shared" si="85"/>
        <v>2563.1295970306924</v>
      </c>
      <c r="K111" s="1513">
        <f t="shared" si="73"/>
        <v>10551.949692209872</v>
      </c>
      <c r="L111" s="1451">
        <f>L110</f>
        <v>0.7</v>
      </c>
      <c r="M111" s="1451">
        <f t="shared" ref="M111:P126" si="87">M110</f>
        <v>0.6</v>
      </c>
      <c r="N111" s="1451">
        <f t="shared" si="87"/>
        <v>0.9</v>
      </c>
      <c r="O111" s="1451">
        <f t="shared" si="87"/>
        <v>0.9</v>
      </c>
      <c r="P111" s="1451">
        <f t="shared" si="87"/>
        <v>0.23600000000000002</v>
      </c>
      <c r="Q111" s="1510">
        <f t="shared" si="31"/>
        <v>302.17876442758143</v>
      </c>
      <c r="R111" s="1511">
        <f t="shared" si="32"/>
        <v>210.86973369421025</v>
      </c>
      <c r="S111" s="1511">
        <f t="shared" si="33"/>
        <v>617.51390749512029</v>
      </c>
      <c r="T111" s="1511">
        <f t="shared" si="34"/>
        <v>415.79520865239783</v>
      </c>
      <c r="U111" s="1513">
        <f t="shared" si="35"/>
        <v>0</v>
      </c>
      <c r="V111" s="1511">
        <f t="shared" si="9"/>
        <v>1546.3576142693098</v>
      </c>
      <c r="W111" s="1456">
        <f t="shared" si="86"/>
        <v>0.5</v>
      </c>
      <c r="X111" s="530">
        <f t="shared" si="36"/>
        <v>3033.4882588631699</v>
      </c>
      <c r="Y111" s="528">
        <f t="shared" si="77"/>
        <v>4579.8458731324799</v>
      </c>
      <c r="Z111" s="528">
        <f t="shared" si="78"/>
        <v>8535.2334161080835</v>
      </c>
      <c r="AA111" s="530">
        <f t="shared" si="79"/>
        <v>5972.1038190773907</v>
      </c>
      <c r="AB111" s="1091">
        <f t="shared" si="37"/>
        <v>0.69970011690676936</v>
      </c>
      <c r="AC111" s="135" t="str">
        <f t="shared" si="38"/>
        <v>Yes</v>
      </c>
      <c r="AD111" s="1091">
        <f t="shared" si="39"/>
        <v>0.69970011690676936</v>
      </c>
      <c r="AE111" s="649">
        <f t="shared" si="10"/>
        <v>0.31568182082170804</v>
      </c>
      <c r="AF111" s="530">
        <f t="shared" si="11"/>
        <v>290.33097527874179</v>
      </c>
      <c r="AG111" s="527">
        <f t="shared" si="40"/>
        <v>2563.1295970306924</v>
      </c>
      <c r="AH111" s="528">
        <f t="shared" si="80"/>
        <v>9282.2980322693056</v>
      </c>
      <c r="AI111" s="528">
        <f t="shared" si="81"/>
        <v>6437.663217588939</v>
      </c>
      <c r="AJ111" s="528">
        <f t="shared" si="12"/>
        <v>1029.4352976776856</v>
      </c>
      <c r="AK111" s="528">
        <f t="shared" si="41"/>
        <v>19312.526144566626</v>
      </c>
      <c r="AL111" s="716">
        <f t="shared" si="13"/>
        <v>0</v>
      </c>
      <c r="AM111" s="417">
        <f t="shared" si="42"/>
        <v>0.13271850496636359</v>
      </c>
      <c r="AN111" s="417">
        <f t="shared" si="43"/>
        <v>0.48063614064702675</v>
      </c>
      <c r="AO111" s="417">
        <f t="shared" si="44"/>
        <v>0.33334133346403816</v>
      </c>
      <c r="AP111" s="417">
        <f t="shared" si="45"/>
        <v>5.3304020922571353E-2</v>
      </c>
      <c r="AQ111" s="417">
        <f t="shared" si="46"/>
        <v>0.99999999999999989</v>
      </c>
      <c r="AR111" s="1086">
        <f t="shared" si="14"/>
        <v>543.67250190502227</v>
      </c>
      <c r="AS111" s="938">
        <f t="shared" si="15"/>
        <v>689.52381573344292</v>
      </c>
      <c r="AT111" s="938">
        <f t="shared" si="16"/>
        <v>141.61777296290828</v>
      </c>
      <c r="AU111" s="938">
        <f t="shared" si="17"/>
        <v>0</v>
      </c>
      <c r="AV111" s="938">
        <f t="shared" si="18"/>
        <v>0</v>
      </c>
      <c r="AW111" s="938">
        <f t="shared" si="19"/>
        <v>0</v>
      </c>
      <c r="AX111" s="938">
        <f t="shared" si="20"/>
        <v>989.01126235376057</v>
      </c>
      <c r="AY111" s="938">
        <f t="shared" si="21"/>
        <v>79.664322729441466</v>
      </c>
      <c r="AZ111" s="938">
        <f t="shared" si="22"/>
        <v>22.393662049221653</v>
      </c>
      <c r="BA111" s="938">
        <f t="shared" si="23"/>
        <v>57.838467112444945</v>
      </c>
      <c r="BB111" s="938">
        <f t="shared" si="24"/>
        <v>39.407792184450628</v>
      </c>
      <c r="BC111" s="530">
        <f t="shared" si="47"/>
        <v>2563.1295970306928</v>
      </c>
      <c r="BD111" s="724">
        <f t="shared" si="48"/>
        <v>0</v>
      </c>
      <c r="BE111" s="436">
        <f t="shared" si="49"/>
        <v>0.21211276344935903</v>
      </c>
      <c r="BF111" s="624">
        <f t="shared" si="50"/>
        <v>0.26901636832262993</v>
      </c>
      <c r="BG111" s="624">
        <f t="shared" si="51"/>
        <v>5.5251897183415201E-2</v>
      </c>
      <c r="BH111" s="624">
        <f t="shared" si="52"/>
        <v>0</v>
      </c>
      <c r="BI111" s="624">
        <f t="shared" si="53"/>
        <v>0</v>
      </c>
      <c r="BJ111" s="624">
        <f t="shared" si="54"/>
        <v>0</v>
      </c>
      <c r="BK111" s="624">
        <f t="shared" si="55"/>
        <v>0.46361897104459582</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75.17701222946782</v>
      </c>
      <c r="BW111" s="114">
        <f t="shared" si="59"/>
        <v>0.67980919561968878</v>
      </c>
      <c r="BX111" s="1695">
        <f t="shared" si="25"/>
        <v>35.846430699385166</v>
      </c>
      <c r="BY111" s="527">
        <f t="shared" si="60"/>
        <v>75.17701222946782</v>
      </c>
      <c r="BZ111" s="417">
        <f t="shared" si="61"/>
        <v>0.67980919561968878</v>
      </c>
      <c r="CA111" s="544">
        <f t="shared" si="26"/>
        <v>35.846430699385166</v>
      </c>
      <c r="CB111" s="649">
        <f t="shared" si="27"/>
        <v>0.31568182082170804</v>
      </c>
      <c r="CC111" s="525">
        <f t="shared" si="62"/>
        <v>0.31075440256461695</v>
      </c>
      <c r="CD111" s="417">
        <f t="shared" si="28"/>
        <v>0.31568182082170804</v>
      </c>
      <c r="CE111" s="525">
        <f t="shared" si="63"/>
        <v>0.31075440256461695</v>
      </c>
      <c r="CF111"/>
      <c r="CG111" s="527">
        <f t="shared" si="64"/>
        <v>1762.7094591608911</v>
      </c>
      <c r="CH111" s="528">
        <f t="shared" si="65"/>
        <v>776.20760869034461</v>
      </c>
      <c r="CI111" s="528">
        <f t="shared" si="66"/>
        <v>2956.1835997106828</v>
      </c>
      <c r="CJ111" s="528">
        <f t="shared" si="67"/>
        <v>3742.1568778715837</v>
      </c>
      <c r="CK111" s="528">
        <f t="shared" si="68"/>
        <v>45.040486835804039</v>
      </c>
      <c r="CL111" s="528">
        <f t="shared" si="69"/>
        <v>9282.2980322693056</v>
      </c>
      <c r="CM111" s="646">
        <f t="shared" si="70"/>
        <v>0</v>
      </c>
    </row>
    <row r="112" spans="1:91" s="4" customFormat="1">
      <c r="A112" s="150">
        <f>'Input data'!A132</f>
        <v>2032</v>
      </c>
      <c r="B112" s="1508">
        <f>'Input data'!B132</f>
        <v>67.087000000000003</v>
      </c>
      <c r="C112" s="1509">
        <f>'Input data'!C132</f>
        <v>3857.2</v>
      </c>
      <c r="D112" s="1509">
        <f>'Input data'!D132</f>
        <v>35664904.184329376</v>
      </c>
      <c r="E112" s="1457">
        <f t="shared" ref="E112:E130" si="88">E111</f>
        <v>1</v>
      </c>
      <c r="F112" s="1451">
        <f t="shared" ref="F112:F130" si="89">F111</f>
        <v>0.36725000000000002</v>
      </c>
      <c r="G112" s="1556">
        <f>B112*F112*'Input data'!$C$9</f>
        <v>754.08764194529181</v>
      </c>
      <c r="H112" s="1551">
        <f>'Input data'!I132</f>
        <v>424.26313389388866</v>
      </c>
      <c r="I112" s="1559">
        <f>'Input data'!K132</f>
        <v>28462.540863539311</v>
      </c>
      <c r="J112" s="1559">
        <f>J97*(1-$G$6)</f>
        <v>2228.8083452440806</v>
      </c>
      <c r="K112" s="1513">
        <f t="shared" si="73"/>
        <v>10998.259474135069</v>
      </c>
      <c r="L112" s="1451">
        <f t="shared" ref="L112:P127" si="90">L111</f>
        <v>0.7</v>
      </c>
      <c r="M112" s="1451">
        <f t="shared" si="87"/>
        <v>0.6</v>
      </c>
      <c r="N112" s="1451">
        <f t="shared" si="87"/>
        <v>0.9</v>
      </c>
      <c r="O112" s="1451">
        <f t="shared" si="87"/>
        <v>0.9</v>
      </c>
      <c r="P112" s="1451">
        <f t="shared" si="87"/>
        <v>0.23600000000000002</v>
      </c>
      <c r="Q112" s="1510">
        <f t="shared" si="31"/>
        <v>304.75904281713724</v>
      </c>
      <c r="R112" s="1511">
        <f t="shared" si="32"/>
        <v>212.67033215086633</v>
      </c>
      <c r="S112" s="1511">
        <f t="shared" si="33"/>
        <v>622.78680545596171</v>
      </c>
      <c r="T112" s="1511">
        <f t="shared" si="34"/>
        <v>419.34564805338914</v>
      </c>
      <c r="U112" s="1513">
        <f t="shared" si="35"/>
        <v>0</v>
      </c>
      <c r="V112" s="1511">
        <f t="shared" si="9"/>
        <v>1559.5618284773545</v>
      </c>
      <c r="W112" s="1456">
        <f t="shared" si="86"/>
        <v>0.5</v>
      </c>
      <c r="X112" s="530">
        <f t="shared" si="36"/>
        <v>3033.4882588631699</v>
      </c>
      <c r="Y112" s="528">
        <f t="shared" si="77"/>
        <v>4593.0500873405244</v>
      </c>
      <c r="Z112" s="528">
        <f t="shared" si="78"/>
        <v>8634.0177320386247</v>
      </c>
      <c r="AA112" s="530">
        <f t="shared" si="79"/>
        <v>6405.2093867945441</v>
      </c>
      <c r="AB112" s="1091">
        <f t="shared" si="37"/>
        <v>0.74185733520403319</v>
      </c>
      <c r="AC112" s="135" t="str">
        <f t="shared" si="38"/>
        <v>Yes</v>
      </c>
      <c r="AD112" s="1091">
        <f t="shared" si="39"/>
        <v>0.74185733520403319</v>
      </c>
      <c r="AE112" s="649">
        <f t="shared" si="10"/>
        <v>0.33524888005816689</v>
      </c>
      <c r="AF112" s="530">
        <f t="shared" si="11"/>
        <v>282.02939340599443</v>
      </c>
      <c r="AG112" s="527">
        <f t="shared" si="40"/>
        <v>2228.8083452440806</v>
      </c>
      <c r="AH112" s="528">
        <f t="shared" si="80"/>
        <v>9361.5587740472802</v>
      </c>
      <c r="AI112" s="528">
        <f t="shared" si="81"/>
        <v>6437.663217588939</v>
      </c>
      <c r="AJ112" s="528">
        <f t="shared" si="12"/>
        <v>892.47557854764841</v>
      </c>
      <c r="AK112" s="528">
        <f t="shared" si="41"/>
        <v>18920.505915427948</v>
      </c>
      <c r="AL112" s="716">
        <f t="shared" si="13"/>
        <v>0</v>
      </c>
      <c r="AM112" s="417">
        <f t="shared" si="42"/>
        <v>0.11779855967945818</v>
      </c>
      <c r="AN112" s="417">
        <f t="shared" si="43"/>
        <v>0.49478374499562311</v>
      </c>
      <c r="AO112" s="417">
        <f t="shared" si="44"/>
        <v>0.34024794296539457</v>
      </c>
      <c r="AP112" s="417">
        <f t="shared" si="45"/>
        <v>4.716975235952417E-2</v>
      </c>
      <c r="AQ112" s="417">
        <f t="shared" si="46"/>
        <v>1.0000000000000002</v>
      </c>
      <c r="AR112" s="1086">
        <f t="shared" si="14"/>
        <v>474.28826664214523</v>
      </c>
      <c r="AS112" s="938">
        <f t="shared" si="15"/>
        <v>601.52583444403103</v>
      </c>
      <c r="AT112" s="938">
        <f t="shared" si="16"/>
        <v>122.77644271847545</v>
      </c>
      <c r="AU112" s="938">
        <f t="shared" si="17"/>
        <v>0</v>
      </c>
      <c r="AV112" s="938">
        <f t="shared" si="18"/>
        <v>0</v>
      </c>
      <c r="AW112" s="938">
        <f t="shared" si="19"/>
        <v>0</v>
      </c>
      <c r="AX112" s="938">
        <f t="shared" si="20"/>
        <v>857.42970009920373</v>
      </c>
      <c r="AY112" s="938">
        <f t="shared" si="21"/>
        <v>69.065498995377979</v>
      </c>
      <c r="AZ112" s="938">
        <f t="shared" si="22"/>
        <v>19.414329912978349</v>
      </c>
      <c r="BA112" s="938">
        <f t="shared" si="23"/>
        <v>50.143432535232996</v>
      </c>
      <c r="BB112" s="938">
        <f t="shared" si="24"/>
        <v>34.164839896635144</v>
      </c>
      <c r="BC112" s="530">
        <f t="shared" si="47"/>
        <v>2228.8083452440796</v>
      </c>
      <c r="BD112" s="724">
        <f t="shared" si="48"/>
        <v>0</v>
      </c>
      <c r="BE112" s="436">
        <f t="shared" si="49"/>
        <v>0.21279903570632283</v>
      </c>
      <c r="BF112" s="624">
        <f t="shared" si="50"/>
        <v>0.26988674720623285</v>
      </c>
      <c r="BG112" s="624">
        <f t="shared" si="51"/>
        <v>5.5086137388376498E-2</v>
      </c>
      <c r="BH112" s="624">
        <f t="shared" si="52"/>
        <v>0</v>
      </c>
      <c r="BI112" s="624">
        <f t="shared" si="53"/>
        <v>0</v>
      </c>
      <c r="BJ112" s="624">
        <f t="shared" si="54"/>
        <v>0</v>
      </c>
      <c r="BK112" s="624">
        <f t="shared" si="55"/>
        <v>0.46222807969906798</v>
      </c>
      <c r="BL112" s="624">
        <f t="shared" si="56"/>
        <v>1.0000000000000002</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75.096103015028518</v>
      </c>
      <c r="BW112" s="114">
        <f t="shared" si="59"/>
        <v>0.68536648498107522</v>
      </c>
      <c r="BX112" s="1695">
        <f t="shared" si="25"/>
        <v>35.664904184329373</v>
      </c>
      <c r="BY112" s="527">
        <f t="shared" si="60"/>
        <v>75.096103015028518</v>
      </c>
      <c r="BZ112" s="417">
        <f t="shared" si="61"/>
        <v>0.68536648498107522</v>
      </c>
      <c r="CA112" s="544">
        <f t="shared" si="26"/>
        <v>35.664904184329373</v>
      </c>
      <c r="CB112" s="649">
        <f t="shared" si="27"/>
        <v>0.33524888005816689</v>
      </c>
      <c r="CC112" s="525">
        <f t="shared" si="62"/>
        <v>0.31514902690029456</v>
      </c>
      <c r="CD112" s="417">
        <f t="shared" si="28"/>
        <v>0.33524888005816689</v>
      </c>
      <c r="CE112" s="525">
        <f t="shared" si="63"/>
        <v>0.31514902690029456</v>
      </c>
      <c r="CF112"/>
      <c r="CG112" s="527">
        <f t="shared" si="64"/>
        <v>1777.761083099967</v>
      </c>
      <c r="CH112" s="528">
        <f t="shared" si="65"/>
        <v>782.835578469447</v>
      </c>
      <c r="CI112" s="528">
        <f t="shared" si="66"/>
        <v>2981.4261963317331</v>
      </c>
      <c r="CJ112" s="528">
        <f t="shared" si="67"/>
        <v>3774.1108324805082</v>
      </c>
      <c r="CK112" s="528">
        <f t="shared" si="68"/>
        <v>45.425083665623134</v>
      </c>
      <c r="CL112" s="528">
        <f t="shared" si="69"/>
        <v>9361.5587740472783</v>
      </c>
      <c r="CM112" s="646">
        <f t="shared" si="70"/>
        <v>0</v>
      </c>
    </row>
    <row r="113" spans="1:91">
      <c r="A113" s="873">
        <f>'Input data'!A133</f>
        <v>2033</v>
      </c>
      <c r="B113" s="1553">
        <f>'Input data'!B133</f>
        <v>67.659000000000006</v>
      </c>
      <c r="C113" s="1552">
        <f>'Input data'!C133</f>
        <v>3964.01</v>
      </c>
      <c r="D113" s="1552">
        <f>'Input data'!D133</f>
        <v>35483377.6692736</v>
      </c>
      <c r="E113" s="1456">
        <f t="shared" si="88"/>
        <v>1</v>
      </c>
      <c r="F113" s="1506">
        <f t="shared" si="89"/>
        <v>0.36725000000000002</v>
      </c>
      <c r="G113" s="1513">
        <f>B113*F113*'Input data'!$C$9</f>
        <v>760.51717570284097</v>
      </c>
      <c r="H113" s="1544">
        <f>'Input data'!I133</f>
        <v>424.26313389388866</v>
      </c>
      <c r="I113" s="1511">
        <f>'Input data'!K133</f>
        <v>28705.219376126617</v>
      </c>
      <c r="J113" s="1511">
        <f>J112</f>
        <v>2228.8083452440806</v>
      </c>
      <c r="K113" s="1513">
        <f t="shared" si="73"/>
        <v>11111.036655894351</v>
      </c>
      <c r="L113" s="1506">
        <f t="shared" si="90"/>
        <v>0.7</v>
      </c>
      <c r="M113" s="1506">
        <f t="shared" si="87"/>
        <v>0.6</v>
      </c>
      <c r="N113" s="1506">
        <f t="shared" si="87"/>
        <v>0.9</v>
      </c>
      <c r="O113" s="1506">
        <f t="shared" si="87"/>
        <v>0.9</v>
      </c>
      <c r="P113" s="1506">
        <f t="shared" si="87"/>
        <v>0.23600000000000002</v>
      </c>
      <c r="Q113" s="1510">
        <f t="shared" si="31"/>
        <v>307.35749218126739</v>
      </c>
      <c r="R113" s="1511">
        <f t="shared" si="32"/>
        <v>214.48361087834405</v>
      </c>
      <c r="S113" s="1511">
        <f t="shared" si="33"/>
        <v>628.09683650103489</v>
      </c>
      <c r="T113" s="1511">
        <f t="shared" si="34"/>
        <v>422.92109054875436</v>
      </c>
      <c r="U113" s="1513">
        <f t="shared" si="35"/>
        <v>0</v>
      </c>
      <c r="V113" s="1511">
        <f t="shared" si="9"/>
        <v>1572.8590301094007</v>
      </c>
      <c r="W113" s="1456">
        <f t="shared" si="86"/>
        <v>0.5</v>
      </c>
      <c r="X113" s="530">
        <f t="shared" si="36"/>
        <v>3033.4882588631699</v>
      </c>
      <c r="Y113" s="528">
        <f t="shared" si="77"/>
        <v>4606.3472889725708</v>
      </c>
      <c r="Z113" s="528">
        <f t="shared" si="78"/>
        <v>8733.4977121658612</v>
      </c>
      <c r="AA113" s="530">
        <f t="shared" si="79"/>
        <v>6504.6893669217807</v>
      </c>
      <c r="AB113" s="1091">
        <f t="shared" si="37"/>
        <v>0.74479774098534135</v>
      </c>
      <c r="AC113" s="135" t="str">
        <f t="shared" si="38"/>
        <v>Yes</v>
      </c>
      <c r="AD113" s="1091">
        <f t="shared" si="39"/>
        <v>0.74479774098534135</v>
      </c>
      <c r="AE113" s="649">
        <f t="shared" si="10"/>
        <v>0.33818022722904584</v>
      </c>
      <c r="AF113" s="530">
        <f t="shared" si="11"/>
        <v>280.78573086874633</v>
      </c>
      <c r="AG113" s="527">
        <f t="shared" si="40"/>
        <v>2228.8083452440806</v>
      </c>
      <c r="AH113" s="528">
        <f t="shared" si="80"/>
        <v>9441.3776900631256</v>
      </c>
      <c r="AI113" s="528">
        <f t="shared" si="81"/>
        <v>6437.663217588939</v>
      </c>
      <c r="AJ113" s="528">
        <f t="shared" si="12"/>
        <v>889.83251195236335</v>
      </c>
      <c r="AK113" s="528">
        <f t="shared" si="41"/>
        <v>18997.681764848508</v>
      </c>
      <c r="AL113" s="716">
        <f t="shared" si="13"/>
        <v>0</v>
      </c>
      <c r="AM113" s="417">
        <f t="shared" si="42"/>
        <v>0.11732001687532498</v>
      </c>
      <c r="AN113" s="417">
        <f t="shared" si="43"/>
        <v>0.49697525239803453</v>
      </c>
      <c r="AO113" s="417">
        <f t="shared" si="44"/>
        <v>0.33886572568557155</v>
      </c>
      <c r="AP113" s="417">
        <f t="shared" si="45"/>
        <v>4.6839005041068971E-2</v>
      </c>
      <c r="AQ113" s="417">
        <f t="shared" si="46"/>
        <v>1</v>
      </c>
      <c r="AR113" s="1086">
        <f t="shared" si="14"/>
        <v>475.79363939985905</v>
      </c>
      <c r="AS113" s="938">
        <f t="shared" si="15"/>
        <v>603.43505435926102</v>
      </c>
      <c r="AT113" s="938">
        <f t="shared" si="16"/>
        <v>122.41284026005837</v>
      </c>
      <c r="AU113" s="938">
        <f t="shared" si="17"/>
        <v>0</v>
      </c>
      <c r="AV113" s="938">
        <f t="shared" si="18"/>
        <v>0</v>
      </c>
      <c r="AW113" s="938">
        <f t="shared" si="19"/>
        <v>0</v>
      </c>
      <c r="AX113" s="938">
        <f t="shared" si="20"/>
        <v>854.89042187959649</v>
      </c>
      <c r="AY113" s="938">
        <f t="shared" si="21"/>
        <v>68.860961506992666</v>
      </c>
      <c r="AZ113" s="938">
        <f t="shared" si="22"/>
        <v>19.356834371255687</v>
      </c>
      <c r="BA113" s="938">
        <f t="shared" si="23"/>
        <v>49.994932750261206</v>
      </c>
      <c r="BB113" s="938">
        <f t="shared" si="24"/>
        <v>34.063660716795845</v>
      </c>
      <c r="BC113" s="530">
        <f t="shared" si="47"/>
        <v>2228.8083452440806</v>
      </c>
      <c r="BD113" s="724">
        <f t="shared" si="48"/>
        <v>0</v>
      </c>
      <c r="BE113" s="436">
        <f t="shared" si="49"/>
        <v>0.21347445167958309</v>
      </c>
      <c r="BF113" s="624">
        <f t="shared" si="50"/>
        <v>0.27074335738507738</v>
      </c>
      <c r="BG113" s="624">
        <f t="shared" si="51"/>
        <v>5.4922999782043951E-2</v>
      </c>
      <c r="BH113" s="624">
        <f t="shared" si="52"/>
        <v>0</v>
      </c>
      <c r="BI113" s="624">
        <f t="shared" si="53"/>
        <v>0</v>
      </c>
      <c r="BJ113" s="624">
        <f t="shared" si="54"/>
        <v>0</v>
      </c>
      <c r="BK113" s="624">
        <f t="shared" si="55"/>
        <v>0.46085919115329549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75.538894020945236</v>
      </c>
      <c r="BW113" s="114">
        <f t="shared" si="59"/>
        <v>0.68865264375876378</v>
      </c>
      <c r="BX113" s="1695">
        <f t="shared" si="25"/>
        <v>35.483377669273601</v>
      </c>
      <c r="BY113" s="527">
        <f t="shared" si="60"/>
        <v>75.538894020945236</v>
      </c>
      <c r="BZ113" s="417">
        <f t="shared" si="61"/>
        <v>0.68865264375876378</v>
      </c>
      <c r="CA113" s="544">
        <f t="shared" si="26"/>
        <v>35.483377669273601</v>
      </c>
      <c r="CB113" s="649">
        <f t="shared" si="27"/>
        <v>0.33818022722904584</v>
      </c>
      <c r="CC113" s="525">
        <f t="shared" si="62"/>
        <v>0.31983179296666453</v>
      </c>
      <c r="CD113" s="417">
        <f t="shared" si="28"/>
        <v>0.33818022722904584</v>
      </c>
      <c r="CE113" s="525">
        <f t="shared" si="63"/>
        <v>0.31983179296666453</v>
      </c>
      <c r="CG113" s="527">
        <f t="shared" si="64"/>
        <v>1792.9187043907264</v>
      </c>
      <c r="CH113" s="528">
        <f t="shared" si="65"/>
        <v>789.51022409206428</v>
      </c>
      <c r="CI113" s="528">
        <f t="shared" si="66"/>
        <v>3006.8465577177208</v>
      </c>
      <c r="CJ113" s="528">
        <f t="shared" si="67"/>
        <v>3806.289814938792</v>
      </c>
      <c r="CK113" s="528">
        <f t="shared" si="68"/>
        <v>45.812388923821253</v>
      </c>
      <c r="CL113" s="528">
        <f t="shared" si="69"/>
        <v>9441.3776900631256</v>
      </c>
      <c r="CM113" s="646">
        <f t="shared" si="70"/>
        <v>0</v>
      </c>
    </row>
    <row r="114" spans="1:91">
      <c r="A114" s="873">
        <f>'Input data'!A134</f>
        <v>2034</v>
      </c>
      <c r="B114" s="1553">
        <f>'Input data'!B134</f>
        <v>68.236999999999995</v>
      </c>
      <c r="C114" s="1552">
        <f>'Input data'!C134</f>
        <v>4078.22</v>
      </c>
      <c r="D114" s="1552">
        <f>'Input data'!D134</f>
        <v>35301851.154217809</v>
      </c>
      <c r="E114" s="1456">
        <f t="shared" si="88"/>
        <v>1</v>
      </c>
      <c r="F114" s="1506">
        <f t="shared" si="89"/>
        <v>0.36725000000000002</v>
      </c>
      <c r="G114" s="1513">
        <f>B114*F114*'Input data'!$C$9</f>
        <v>767.01415212218251</v>
      </c>
      <c r="H114" s="1544">
        <f>'Input data'!I134</f>
        <v>424.26313389388866</v>
      </c>
      <c r="I114" s="1511">
        <f>'Input data'!K134</f>
        <v>28950.443467517278</v>
      </c>
      <c r="J114" s="1511">
        <f t="shared" ref="J114:J130" si="91">J113</f>
        <v>2228.8083452440806</v>
      </c>
      <c r="K114" s="1513">
        <f t="shared" si="73"/>
        <v>11224.996815084671</v>
      </c>
      <c r="L114" s="1506">
        <f t="shared" si="90"/>
        <v>0.7</v>
      </c>
      <c r="M114" s="1506">
        <f t="shared" si="87"/>
        <v>0.6</v>
      </c>
      <c r="N114" s="1506">
        <f t="shared" si="87"/>
        <v>0.9</v>
      </c>
      <c r="O114" s="1506">
        <f t="shared" si="87"/>
        <v>0.9</v>
      </c>
      <c r="P114" s="1506">
        <f t="shared" si="87"/>
        <v>0.23600000000000002</v>
      </c>
      <c r="Q114" s="1510">
        <f t="shared" si="31"/>
        <v>309.98319800725903</v>
      </c>
      <c r="R114" s="1511">
        <f t="shared" si="32"/>
        <v>216.31591001205413</v>
      </c>
      <c r="S114" s="1511">
        <f t="shared" si="33"/>
        <v>633.46256717245433</v>
      </c>
      <c r="T114" s="1511">
        <f t="shared" si="34"/>
        <v>426.53403768567887</v>
      </c>
      <c r="U114" s="1513">
        <f t="shared" si="35"/>
        <v>0</v>
      </c>
      <c r="V114" s="1511">
        <f t="shared" si="9"/>
        <v>1586.2957128774465</v>
      </c>
      <c r="W114" s="1456">
        <f t="shared" si="86"/>
        <v>0.5</v>
      </c>
      <c r="X114" s="530">
        <f t="shared" si="36"/>
        <v>3033.4882588631699</v>
      </c>
      <c r="Y114" s="528">
        <f t="shared" si="77"/>
        <v>4619.7839717406168</v>
      </c>
      <c r="Z114" s="528">
        <f t="shared" si="78"/>
        <v>8834.0211885881345</v>
      </c>
      <c r="AA114" s="530">
        <f t="shared" si="79"/>
        <v>6605.2128433440539</v>
      </c>
      <c r="AB114" s="1091">
        <f t="shared" si="37"/>
        <v>0.74770172069280583</v>
      </c>
      <c r="AC114" s="135" t="str">
        <f t="shared" si="38"/>
        <v>Yes</v>
      </c>
      <c r="AD114" s="1091">
        <f t="shared" si="39"/>
        <v>0.74770172069280583</v>
      </c>
      <c r="AE114" s="649">
        <f t="shared" si="10"/>
        <v>0.34109031387957867</v>
      </c>
      <c r="AF114" s="530">
        <f t="shared" si="11"/>
        <v>279.55108838648846</v>
      </c>
      <c r="AG114" s="527">
        <f t="shared" si="40"/>
        <v>2228.8083452440806</v>
      </c>
      <c r="AH114" s="528">
        <f t="shared" si="80"/>
        <v>9522.0338674357772</v>
      </c>
      <c r="AI114" s="528">
        <f t="shared" si="81"/>
        <v>6437.663217588939</v>
      </c>
      <c r="AJ114" s="528">
        <f t="shared" si="12"/>
        <v>887.22218796001607</v>
      </c>
      <c r="AK114" s="528">
        <f t="shared" si="41"/>
        <v>19075.727618228811</v>
      </c>
      <c r="AL114" s="716">
        <f t="shared" si="13"/>
        <v>0</v>
      </c>
      <c r="AM114" s="417">
        <f t="shared" si="42"/>
        <v>0.11684001731678251</v>
      </c>
      <c r="AN114" s="417">
        <f t="shared" si="43"/>
        <v>0.49917015266754483</v>
      </c>
      <c r="AO114" s="417">
        <f t="shared" si="44"/>
        <v>0.33747930073383375</v>
      </c>
      <c r="AP114" s="417">
        <f t="shared" si="45"/>
        <v>4.6510529281838998E-2</v>
      </c>
      <c r="AQ114" s="417">
        <f t="shared" si="46"/>
        <v>1.0000000000000002</v>
      </c>
      <c r="AR114" s="1086">
        <f t="shared" si="14"/>
        <v>477.2803634324261</v>
      </c>
      <c r="AS114" s="938">
        <f t="shared" si="15"/>
        <v>605.32062264584192</v>
      </c>
      <c r="AT114" s="938">
        <f t="shared" si="16"/>
        <v>122.05374214933514</v>
      </c>
      <c r="AU114" s="938">
        <f t="shared" si="17"/>
        <v>0</v>
      </c>
      <c r="AV114" s="938">
        <f t="shared" si="18"/>
        <v>0</v>
      </c>
      <c r="AW114" s="938">
        <f t="shared" si="19"/>
        <v>0</v>
      </c>
      <c r="AX114" s="938">
        <f t="shared" si="20"/>
        <v>852.38260052098587</v>
      </c>
      <c r="AY114" s="938">
        <f t="shared" si="21"/>
        <v>68.658957851761571</v>
      </c>
      <c r="AZ114" s="938">
        <f t="shared" si="22"/>
        <v>19.300051090698485</v>
      </c>
      <c r="BA114" s="938">
        <f t="shared" si="23"/>
        <v>49.848272597141516</v>
      </c>
      <c r="BB114" s="938">
        <f t="shared" si="24"/>
        <v>33.963734955889294</v>
      </c>
      <c r="BC114" s="530">
        <f t="shared" si="47"/>
        <v>2228.8083452440801</v>
      </c>
      <c r="BD114" s="724">
        <f t="shared" si="48"/>
        <v>0</v>
      </c>
      <c r="BE114" s="436">
        <f t="shared" si="49"/>
        <v>0.21414150052464848</v>
      </c>
      <c r="BF114" s="624">
        <f t="shared" si="50"/>
        <v>0.27158935578175625</v>
      </c>
      <c r="BG114" s="624">
        <f t="shared" si="51"/>
        <v>5.4761883142522443E-2</v>
      </c>
      <c r="BH114" s="624">
        <f t="shared" si="52"/>
        <v>0</v>
      </c>
      <c r="BI114" s="624">
        <f t="shared" si="53"/>
        <v>0</v>
      </c>
      <c r="BJ114" s="624">
        <f t="shared" si="54"/>
        <v>0</v>
      </c>
      <c r="BK114" s="624">
        <f t="shared" si="55"/>
        <v>0.45950726055107272</v>
      </c>
      <c r="BL114" s="624">
        <f t="shared" si="56"/>
        <v>0.99999999999999989</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76.020462046732973</v>
      </c>
      <c r="BW114" s="114">
        <f t="shared" si="59"/>
        <v>0.69205765911572981</v>
      </c>
      <c r="BX114" s="1695">
        <f t="shared" si="25"/>
        <v>35.301851154217808</v>
      </c>
      <c r="BY114" s="527">
        <f t="shared" si="60"/>
        <v>76.020462046732973</v>
      </c>
      <c r="BZ114" s="417">
        <f t="shared" si="61"/>
        <v>0.69205765911572981</v>
      </c>
      <c r="CA114" s="544">
        <f t="shared" si="26"/>
        <v>35.301851154217808</v>
      </c>
      <c r="CB114" s="649">
        <f t="shared" si="27"/>
        <v>0.34109031387957867</v>
      </c>
      <c r="CC114" s="525">
        <f t="shared" si="62"/>
        <v>0.324655091654937</v>
      </c>
      <c r="CD114" s="417">
        <f t="shared" si="28"/>
        <v>0.34109031387957867</v>
      </c>
      <c r="CE114" s="525">
        <f t="shared" si="63"/>
        <v>0.324655091654937</v>
      </c>
      <c r="CG114" s="527">
        <f t="shared" si="64"/>
        <v>1808.2353217090108</v>
      </c>
      <c r="CH114" s="528">
        <f t="shared" si="65"/>
        <v>796.25488347995372</v>
      </c>
      <c r="CI114" s="528">
        <f t="shared" si="66"/>
        <v>3032.5335662511134</v>
      </c>
      <c r="CJ114" s="528">
        <f t="shared" si="67"/>
        <v>3838.8063391711125</v>
      </c>
      <c r="CK114" s="528">
        <f t="shared" si="68"/>
        <v>46.203756824587849</v>
      </c>
      <c r="CL114" s="528">
        <f t="shared" si="69"/>
        <v>9522.033867435779</v>
      </c>
      <c r="CM114" s="646">
        <f t="shared" si="70"/>
        <v>0</v>
      </c>
    </row>
    <row r="115" spans="1:91">
      <c r="A115" s="873">
        <f>'Input data'!A135</f>
        <v>2035</v>
      </c>
      <c r="B115" s="1553">
        <f>'Input data'!B135</f>
        <v>68.819000000000003</v>
      </c>
      <c r="C115" s="1552">
        <f>'Input data'!C135</f>
        <v>4200.2899999999991</v>
      </c>
      <c r="D115" s="1552">
        <f>'Input data'!D135</f>
        <v>35120324.639162026</v>
      </c>
      <c r="E115" s="1456">
        <f t="shared" si="88"/>
        <v>1</v>
      </c>
      <c r="F115" s="1506">
        <f t="shared" si="89"/>
        <v>0.36725000000000002</v>
      </c>
      <c r="G115" s="1513">
        <f>B115*F115*'Input data'!$C$9</f>
        <v>773.55609031605263</v>
      </c>
      <c r="H115" s="1544">
        <f>'Input data'!I135</f>
        <v>424.26313389388866</v>
      </c>
      <c r="I115" s="1511">
        <f>'Input data'!K135</f>
        <v>29197.364611443525</v>
      </c>
      <c r="J115" s="1511">
        <f t="shared" si="91"/>
        <v>2228.8083452440806</v>
      </c>
      <c r="K115" s="1513">
        <f t="shared" si="73"/>
        <v>11339.74562589569</v>
      </c>
      <c r="L115" s="1506">
        <f t="shared" si="90"/>
        <v>0.7</v>
      </c>
      <c r="M115" s="1506">
        <f t="shared" si="87"/>
        <v>0.6</v>
      </c>
      <c r="N115" s="1506">
        <f t="shared" si="87"/>
        <v>0.9</v>
      </c>
      <c r="O115" s="1506">
        <f t="shared" si="87"/>
        <v>0.9</v>
      </c>
      <c r="P115" s="1506">
        <f t="shared" si="87"/>
        <v>0.23600000000000002</v>
      </c>
      <c r="Q115" s="1510">
        <f t="shared" si="31"/>
        <v>312.62707480782501</v>
      </c>
      <c r="R115" s="1511">
        <f t="shared" si="32"/>
        <v>218.16088941658552</v>
      </c>
      <c r="S115" s="1511">
        <f t="shared" si="33"/>
        <v>638.86543092810598</v>
      </c>
      <c r="T115" s="1511">
        <f t="shared" si="34"/>
        <v>430.17198791697683</v>
      </c>
      <c r="U115" s="1513">
        <f t="shared" si="35"/>
        <v>0</v>
      </c>
      <c r="V115" s="1511">
        <f t="shared" si="9"/>
        <v>1599.8253830694935</v>
      </c>
      <c r="W115" s="1456">
        <f t="shared" si="86"/>
        <v>0.5</v>
      </c>
      <c r="X115" s="530">
        <f t="shared" si="36"/>
        <v>3033.4882588631699</v>
      </c>
      <c r="Y115" s="528">
        <f t="shared" si="77"/>
        <v>4633.3136419326638</v>
      </c>
      <c r="Z115" s="528">
        <f t="shared" si="78"/>
        <v>8935.2403292071067</v>
      </c>
      <c r="AA115" s="530">
        <f t="shared" si="79"/>
        <v>6706.4319839630261</v>
      </c>
      <c r="AB115" s="1091">
        <f t="shared" si="37"/>
        <v>0.75055977644399186</v>
      </c>
      <c r="AC115" s="135" t="str">
        <f t="shared" si="38"/>
        <v>Yes</v>
      </c>
      <c r="AD115" s="1091">
        <f t="shared" si="39"/>
        <v>0.75055977644399186</v>
      </c>
      <c r="AE115" s="649">
        <f t="shared" si="10"/>
        <v>0.3439691156789576</v>
      </c>
      <c r="AF115" s="530">
        <f t="shared" si="11"/>
        <v>278.32971891322461</v>
      </c>
      <c r="AG115" s="527">
        <f t="shared" si="40"/>
        <v>2228.8083452440806</v>
      </c>
      <c r="AH115" s="528">
        <f t="shared" si="80"/>
        <v>9603.2482190463088</v>
      </c>
      <c r="AI115" s="528">
        <f t="shared" si="81"/>
        <v>6437.663217588939</v>
      </c>
      <c r="AJ115" s="528">
        <f t="shared" si="12"/>
        <v>884.65314400987734</v>
      </c>
      <c r="AK115" s="528">
        <f t="shared" si="41"/>
        <v>19154.372925889205</v>
      </c>
      <c r="AL115" s="716">
        <f t="shared" si="13"/>
        <v>0</v>
      </c>
      <c r="AM115" s="417">
        <f t="shared" si="42"/>
        <v>0.11636028774565652</v>
      </c>
      <c r="AN115" s="417">
        <f t="shared" si="43"/>
        <v>0.50136061651313479</v>
      </c>
      <c r="AO115" s="417">
        <f t="shared" si="44"/>
        <v>0.33609365561050247</v>
      </c>
      <c r="AP115" s="417">
        <f t="shared" si="45"/>
        <v>4.6185440130706287E-2</v>
      </c>
      <c r="AQ115" s="417">
        <f t="shared" si="46"/>
        <v>1</v>
      </c>
      <c r="AR115" s="1086">
        <f t="shared" si="14"/>
        <v>478.74357619551222</v>
      </c>
      <c r="AS115" s="938">
        <f t="shared" si="15"/>
        <v>607.17637228206172</v>
      </c>
      <c r="AT115" s="938">
        <f t="shared" si="16"/>
        <v>121.70032286821744</v>
      </c>
      <c r="AU115" s="938">
        <f t="shared" si="17"/>
        <v>0</v>
      </c>
      <c r="AV115" s="938">
        <f t="shared" si="18"/>
        <v>0</v>
      </c>
      <c r="AW115" s="938">
        <f t="shared" si="19"/>
        <v>0</v>
      </c>
      <c r="AX115" s="938">
        <f t="shared" si="20"/>
        <v>849.91443821306746</v>
      </c>
      <c r="AY115" s="938">
        <f t="shared" si="21"/>
        <v>68.460148711632399</v>
      </c>
      <c r="AZ115" s="938">
        <f t="shared" si="22"/>
        <v>19.24416578917549</v>
      </c>
      <c r="BA115" s="938">
        <f t="shared" si="23"/>
        <v>49.70393174895441</v>
      </c>
      <c r="BB115" s="938">
        <f t="shared" si="24"/>
        <v>33.865389435458646</v>
      </c>
      <c r="BC115" s="530">
        <f t="shared" si="47"/>
        <v>2228.8083452440801</v>
      </c>
      <c r="BD115" s="724">
        <f t="shared" si="48"/>
        <v>0</v>
      </c>
      <c r="BE115" s="436">
        <f t="shared" si="49"/>
        <v>0.21479800056253123</v>
      </c>
      <c r="BF115" s="624">
        <f t="shared" si="50"/>
        <v>0.27242197543708896</v>
      </c>
      <c r="BG115" s="624">
        <f t="shared" si="51"/>
        <v>5.4603314424906221E-2</v>
      </c>
      <c r="BH115" s="624">
        <f t="shared" si="52"/>
        <v>0</v>
      </c>
      <c r="BI115" s="624">
        <f t="shared" si="53"/>
        <v>0</v>
      </c>
      <c r="BJ115" s="624">
        <f t="shared" si="54"/>
        <v>0</v>
      </c>
      <c r="BK115" s="624">
        <f t="shared" si="55"/>
        <v>0.45817670957547341</v>
      </c>
      <c r="BL115" s="624">
        <f t="shared" si="56"/>
        <v>0.99999999999999978</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76.542892924782237</v>
      </c>
      <c r="BW115" s="114">
        <f t="shared" si="59"/>
        <v>0.69558240826305195</v>
      </c>
      <c r="BX115" s="1695">
        <f t="shared" si="25"/>
        <v>35.120324639162028</v>
      </c>
      <c r="BY115" s="527">
        <f t="shared" si="60"/>
        <v>76.542892924782237</v>
      </c>
      <c r="BZ115" s="417">
        <f t="shared" si="61"/>
        <v>0.69558240826305195</v>
      </c>
      <c r="CA115" s="544">
        <f t="shared" si="26"/>
        <v>35.120324639162028</v>
      </c>
      <c r="CB115" s="649">
        <f t="shared" si="27"/>
        <v>0.3439691156789576</v>
      </c>
      <c r="CC115" s="525">
        <f t="shared" si="62"/>
        <v>0.32961379341442587</v>
      </c>
      <c r="CD115" s="417">
        <f t="shared" si="28"/>
        <v>0.3439691156789576</v>
      </c>
      <c r="CE115" s="525">
        <f t="shared" si="63"/>
        <v>0.32961379341442587</v>
      </c>
      <c r="CG115" s="527">
        <f t="shared" si="64"/>
        <v>1823.6579363789797</v>
      </c>
      <c r="CH115" s="528">
        <f t="shared" si="65"/>
        <v>803.04621871135794</v>
      </c>
      <c r="CI115" s="528">
        <f t="shared" si="66"/>
        <v>3058.3983395494442</v>
      </c>
      <c r="CJ115" s="528">
        <f t="shared" si="67"/>
        <v>3871.5478912527924</v>
      </c>
      <c r="CK115" s="528">
        <f t="shared" si="68"/>
        <v>46.59783315373349</v>
      </c>
      <c r="CL115" s="528">
        <f t="shared" si="69"/>
        <v>9603.2482190463088</v>
      </c>
      <c r="CM115" s="646">
        <f t="shared" si="70"/>
        <v>0</v>
      </c>
    </row>
    <row r="116" spans="1:91">
      <c r="A116" s="873">
        <f>'Input data'!A136</f>
        <v>2036</v>
      </c>
      <c r="B116" s="1553">
        <f>'Input data'!B136</f>
        <v>69.322999999999993</v>
      </c>
      <c r="C116" s="1552">
        <f>'Input data'!C136</f>
        <v>4325.9699999999993</v>
      </c>
      <c r="D116" s="1552">
        <f>'Input data'!D136</f>
        <v>32285395.803631678</v>
      </c>
      <c r="E116" s="1456">
        <f t="shared" si="88"/>
        <v>1</v>
      </c>
      <c r="F116" s="1506">
        <f t="shared" si="89"/>
        <v>0.36725000000000002</v>
      </c>
      <c r="G116" s="1513">
        <f>B116*F116*'Input data'!$C$9</f>
        <v>779.22127390662058</v>
      </c>
      <c r="H116" s="1544">
        <f>'Input data'!I136</f>
        <v>424.26313389388866</v>
      </c>
      <c r="I116" s="1511">
        <f>'Input data'!K136</f>
        <v>29411.193230926041</v>
      </c>
      <c r="J116" s="1511">
        <f t="shared" si="91"/>
        <v>2228.8083452440806</v>
      </c>
      <c r="K116" s="1513">
        <f t="shared" si="73"/>
        <v>11439.115730103165</v>
      </c>
      <c r="L116" s="1506">
        <f t="shared" si="90"/>
        <v>0.7</v>
      </c>
      <c r="M116" s="1506">
        <f t="shared" si="87"/>
        <v>0.6</v>
      </c>
      <c r="N116" s="1506">
        <f t="shared" si="87"/>
        <v>0.9</v>
      </c>
      <c r="O116" s="1506">
        <f t="shared" si="87"/>
        <v>0.9</v>
      </c>
      <c r="P116" s="1506">
        <f t="shared" si="87"/>
        <v>0.23600000000000002</v>
      </c>
      <c r="Q116" s="1510">
        <f t="shared" si="31"/>
        <v>314.91661760419152</v>
      </c>
      <c r="R116" s="1511">
        <f t="shared" si="32"/>
        <v>219.75860354009728</v>
      </c>
      <c r="S116" s="1511">
        <f t="shared" si="33"/>
        <v>643.54419954124705</v>
      </c>
      <c r="T116" s="1511">
        <f t="shared" si="34"/>
        <v>433.32237780799687</v>
      </c>
      <c r="U116" s="1513">
        <f t="shared" si="35"/>
        <v>0</v>
      </c>
      <c r="V116" s="1511">
        <f t="shared" si="9"/>
        <v>1611.5417984935327</v>
      </c>
      <c r="W116" s="1456">
        <f t="shared" si="86"/>
        <v>0.5</v>
      </c>
      <c r="X116" s="530">
        <f t="shared" si="36"/>
        <v>3033.4882588631699</v>
      </c>
      <c r="Y116" s="528">
        <f t="shared" si="77"/>
        <v>4645.0300573567029</v>
      </c>
      <c r="Z116" s="528">
        <f t="shared" si="78"/>
        <v>9022.8940179905439</v>
      </c>
      <c r="AA116" s="530">
        <f t="shared" si="79"/>
        <v>6794.0856727464634</v>
      </c>
      <c r="AB116" s="1091">
        <f t="shared" si="37"/>
        <v>0.7529829851929869</v>
      </c>
      <c r="AC116" s="135" t="str">
        <f t="shared" si="38"/>
        <v>Yes</v>
      </c>
      <c r="AD116" s="1091">
        <f t="shared" si="39"/>
        <v>0.7529829851929869</v>
      </c>
      <c r="AE116" s="649">
        <f t="shared" si="10"/>
        <v>0.34642146071856406</v>
      </c>
      <c r="AF116" s="530">
        <f t="shared" si="11"/>
        <v>277.28927932133206</v>
      </c>
      <c r="AG116" s="527">
        <f t="shared" si="40"/>
        <v>2228.8083452440806</v>
      </c>
      <c r="AH116" s="528">
        <f t="shared" si="80"/>
        <v>9673.5781730183098</v>
      </c>
      <c r="AI116" s="528">
        <f t="shared" si="81"/>
        <v>6437.663217588939</v>
      </c>
      <c r="AJ116" s="528">
        <f t="shared" si="12"/>
        <v>882.47497454136862</v>
      </c>
      <c r="AK116" s="528">
        <f t="shared" si="41"/>
        <v>19222.524710392699</v>
      </c>
      <c r="AL116" s="716">
        <f t="shared" si="13"/>
        <v>0</v>
      </c>
      <c r="AM116" s="417">
        <f t="shared" si="42"/>
        <v>0.11594774249602449</v>
      </c>
      <c r="AN116" s="417">
        <f t="shared" si="43"/>
        <v>0.50324181234051268</v>
      </c>
      <c r="AO116" s="417">
        <f t="shared" si="44"/>
        <v>0.33490206487332036</v>
      </c>
      <c r="AP116" s="417">
        <f t="shared" si="45"/>
        <v>4.5908380290142464E-2</v>
      </c>
      <c r="AQ116" s="417">
        <f t="shared" si="46"/>
        <v>0.99999999999999989</v>
      </c>
      <c r="AR116" s="1086">
        <f t="shared" si="14"/>
        <v>479.98416430079305</v>
      </c>
      <c r="AS116" s="938">
        <f t="shared" si="15"/>
        <v>608.74977362406332</v>
      </c>
      <c r="AT116" s="938">
        <f t="shared" si="16"/>
        <v>121.40067556647645</v>
      </c>
      <c r="AU116" s="938">
        <f t="shared" si="17"/>
        <v>0</v>
      </c>
      <c r="AV116" s="938">
        <f t="shared" si="18"/>
        <v>0</v>
      </c>
      <c r="AW116" s="938">
        <f t="shared" si="19"/>
        <v>0</v>
      </c>
      <c r="AX116" s="938">
        <f t="shared" si="20"/>
        <v>847.82180146306473</v>
      </c>
      <c r="AY116" s="938">
        <f t="shared" si="21"/>
        <v>68.291587952262518</v>
      </c>
      <c r="AZ116" s="938">
        <f t="shared" si="22"/>
        <v>19.196783315431162</v>
      </c>
      <c r="BA116" s="938">
        <f t="shared" si="23"/>
        <v>49.581552048691819</v>
      </c>
      <c r="BB116" s="938">
        <f t="shared" si="24"/>
        <v>33.782006973295992</v>
      </c>
      <c r="BC116" s="530">
        <f t="shared" si="47"/>
        <v>2228.8083452440792</v>
      </c>
      <c r="BD116" s="724">
        <f t="shared" si="48"/>
        <v>0</v>
      </c>
      <c r="BE116" s="436">
        <f t="shared" si="49"/>
        <v>0.21535461553928698</v>
      </c>
      <c r="BF116" s="624">
        <f t="shared" si="50"/>
        <v>0.27312791381234641</v>
      </c>
      <c r="BG116" s="624">
        <f t="shared" si="51"/>
        <v>5.4468871594781171E-2</v>
      </c>
      <c r="BH116" s="624">
        <f t="shared" si="52"/>
        <v>0</v>
      </c>
      <c r="BI116" s="624">
        <f t="shared" si="53"/>
        <v>0</v>
      </c>
      <c r="BJ116" s="624">
        <f t="shared" si="54"/>
        <v>0</v>
      </c>
      <c r="BK116" s="624">
        <f t="shared" si="55"/>
        <v>0.45704859905358536</v>
      </c>
      <c r="BL116" s="624">
        <f t="shared" si="56"/>
        <v>1</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74.419920435881096</v>
      </c>
      <c r="BW116" s="114">
        <f t="shared" si="59"/>
        <v>0.70975451598294426</v>
      </c>
      <c r="BX116" s="1695">
        <f t="shared" si="25"/>
        <v>32.28539580363168</v>
      </c>
      <c r="BY116" s="527">
        <f t="shared" si="60"/>
        <v>74.419920435881096</v>
      </c>
      <c r="BZ116" s="417">
        <f t="shared" si="61"/>
        <v>0.70975451598294426</v>
      </c>
      <c r="CA116" s="544">
        <f t="shared" si="26"/>
        <v>32.28539580363168</v>
      </c>
      <c r="CB116" s="649">
        <f t="shared" si="27"/>
        <v>0.34642146071856406</v>
      </c>
      <c r="CC116" s="525">
        <f t="shared" si="62"/>
        <v>0.34507767462713557</v>
      </c>
      <c r="CD116" s="417">
        <f t="shared" si="28"/>
        <v>0.34642146071856406</v>
      </c>
      <c r="CE116" s="525">
        <f t="shared" si="63"/>
        <v>0.34507767462713557</v>
      </c>
      <c r="CG116" s="527">
        <f t="shared" si="64"/>
        <v>1837.0136026911173</v>
      </c>
      <c r="CH116" s="528">
        <f t="shared" si="65"/>
        <v>808.92737499422344</v>
      </c>
      <c r="CI116" s="528">
        <f t="shared" si="66"/>
        <v>3080.7966999315026</v>
      </c>
      <c r="CJ116" s="528">
        <f t="shared" si="67"/>
        <v>3899.9014002719787</v>
      </c>
      <c r="CK116" s="528">
        <f t="shared" si="68"/>
        <v>46.939095129488457</v>
      </c>
      <c r="CL116" s="528">
        <f t="shared" si="69"/>
        <v>9673.5781730183116</v>
      </c>
      <c r="CM116" s="646">
        <f t="shared" si="70"/>
        <v>0</v>
      </c>
    </row>
    <row r="117" spans="1:91" s="1" customFormat="1">
      <c r="A117" s="873">
        <f>'Input data'!A137</f>
        <v>2037</v>
      </c>
      <c r="B117" s="1553">
        <f>'Input data'!B137</f>
        <v>69.83</v>
      </c>
      <c r="C117" s="1552">
        <f>'Input data'!C137</f>
        <v>4457.0000000000018</v>
      </c>
      <c r="D117" s="1552">
        <f>'Input data'!D137</f>
        <v>29450466.968101323</v>
      </c>
      <c r="E117" s="1456">
        <f t="shared" si="88"/>
        <v>1</v>
      </c>
      <c r="F117" s="1506">
        <f t="shared" si="89"/>
        <v>0.36725000000000002</v>
      </c>
      <c r="G117" s="1513">
        <f>B117*F117*'Input data'!$C$9</f>
        <v>784.92017882808466</v>
      </c>
      <c r="H117" s="1544">
        <f>'Input data'!I137</f>
        <v>424.26313389388866</v>
      </c>
      <c r="I117" s="1511">
        <f>'Input data'!K137</f>
        <v>29626.294639810243</v>
      </c>
      <c r="J117" s="1511">
        <f t="shared" si="91"/>
        <v>2228.8083452440806</v>
      </c>
      <c r="K117" s="1513">
        <f t="shared" si="73"/>
        <v>11539.077323026166</v>
      </c>
      <c r="L117" s="1506">
        <f t="shared" si="90"/>
        <v>0.7</v>
      </c>
      <c r="M117" s="1506">
        <f t="shared" si="87"/>
        <v>0.6</v>
      </c>
      <c r="N117" s="1506">
        <f t="shared" si="87"/>
        <v>0.9</v>
      </c>
      <c r="O117" s="1506">
        <f t="shared" si="87"/>
        <v>0.9</v>
      </c>
      <c r="P117" s="1506">
        <f>P116</f>
        <v>0.23600000000000002</v>
      </c>
      <c r="Q117" s="1510">
        <f t="shared" si="31"/>
        <v>317.21978863148888</v>
      </c>
      <c r="R117" s="1511">
        <f t="shared" si="32"/>
        <v>221.36582786672534</v>
      </c>
      <c r="S117" s="1511">
        <f t="shared" si="33"/>
        <v>648.25081796756149</v>
      </c>
      <c r="T117" s="1511">
        <f t="shared" si="34"/>
        <v>436.49152001979792</v>
      </c>
      <c r="U117" s="1513">
        <f t="shared" si="35"/>
        <v>0</v>
      </c>
      <c r="V117" s="1511">
        <f t="shared" si="9"/>
        <v>1623.3279544855736</v>
      </c>
      <c r="W117" s="1456">
        <f t="shared" si="86"/>
        <v>0.5</v>
      </c>
      <c r="X117" s="530">
        <f t="shared" si="36"/>
        <v>3033.4882588631699</v>
      </c>
      <c r="Y117" s="528">
        <f t="shared" si="77"/>
        <v>4656.816213348744</v>
      </c>
      <c r="Z117" s="528">
        <f t="shared" si="78"/>
        <v>9111.0694549215023</v>
      </c>
      <c r="AA117" s="530">
        <f t="shared" si="79"/>
        <v>6882.2611096774217</v>
      </c>
      <c r="AB117" s="1091">
        <f t="shared" si="37"/>
        <v>0.75537357537756988</v>
      </c>
      <c r="AC117" s="135" t="str">
        <f t="shared" si="38"/>
        <v>Yes</v>
      </c>
      <c r="AD117" s="1091">
        <f t="shared" si="39"/>
        <v>0.75537357537756988</v>
      </c>
      <c r="AE117" s="649">
        <f t="shared" si="10"/>
        <v>0.34885125932123828</v>
      </c>
      <c r="AF117" s="530">
        <f t="shared" si="11"/>
        <v>276.25840535143044</v>
      </c>
      <c r="AG117" s="527">
        <f t="shared" si="40"/>
        <v>2228.8083452440806</v>
      </c>
      <c r="AH117" s="528">
        <f t="shared" si="80"/>
        <v>9744.3267576687194</v>
      </c>
      <c r="AI117" s="528">
        <f t="shared" si="81"/>
        <v>6437.663217588939</v>
      </c>
      <c r="AJ117" s="528">
        <f t="shared" si="12"/>
        <v>880.32612518865233</v>
      </c>
      <c r="AK117" s="528">
        <f t="shared" si="41"/>
        <v>19291.124445690388</v>
      </c>
      <c r="AL117" s="716">
        <f t="shared" si="13"/>
        <v>0</v>
      </c>
      <c r="AM117" s="417">
        <f t="shared" si="42"/>
        <v>0.11553542933791988</v>
      </c>
      <c r="AN117" s="417">
        <f t="shared" si="43"/>
        <v>0.5051196878181764</v>
      </c>
      <c r="AO117" s="417">
        <f t="shared" si="44"/>
        <v>0.33371114450651446</v>
      </c>
      <c r="AP117" s="417">
        <f t="shared" si="45"/>
        <v>4.5633738337389457E-2</v>
      </c>
      <c r="AQ117" s="417">
        <f t="shared" si="46"/>
        <v>1.0000000000000002</v>
      </c>
      <c r="AR117" s="1086">
        <f t="shared" si="14"/>
        <v>481.20805297684103</v>
      </c>
      <c r="AS117" s="938">
        <f t="shared" si="15"/>
        <v>610.3019955719908</v>
      </c>
      <c r="AT117" s="938">
        <f t="shared" si="16"/>
        <v>121.10506178632825</v>
      </c>
      <c r="AU117" s="938">
        <f t="shared" si="17"/>
        <v>0</v>
      </c>
      <c r="AV117" s="938">
        <f t="shared" si="18"/>
        <v>0</v>
      </c>
      <c r="AW117" s="938">
        <f t="shared" si="19"/>
        <v>0</v>
      </c>
      <c r="AX117" s="938">
        <f t="shared" si="20"/>
        <v>845.75733348170411</v>
      </c>
      <c r="AY117" s="938">
        <f t="shared" si="21"/>
        <v>68.125296171984587</v>
      </c>
      <c r="AZ117" s="938">
        <f t="shared" si="22"/>
        <v>19.150038652305739</v>
      </c>
      <c r="BA117" s="938">
        <f t="shared" si="23"/>
        <v>49.460819689021278</v>
      </c>
      <c r="BB117" s="938">
        <f t="shared" si="24"/>
        <v>33.699746913903653</v>
      </c>
      <c r="BC117" s="530">
        <f t="shared" si="47"/>
        <v>2228.8083452440796</v>
      </c>
      <c r="BD117" s="724">
        <f t="shared" si="48"/>
        <v>0</v>
      </c>
      <c r="BE117" s="436">
        <f t="shared" si="49"/>
        <v>0.21590373797893481</v>
      </c>
      <c r="BF117" s="624">
        <f t="shared" si="50"/>
        <v>0.27382434962354552</v>
      </c>
      <c r="BG117" s="624">
        <f t="shared" si="51"/>
        <v>5.4336238485802095E-2</v>
      </c>
      <c r="BH117" s="624">
        <f t="shared" si="52"/>
        <v>0</v>
      </c>
      <c r="BI117" s="624">
        <f t="shared" si="53"/>
        <v>0</v>
      </c>
      <c r="BJ117" s="624">
        <f t="shared" si="54"/>
        <v>0</v>
      </c>
      <c r="BK117" s="624">
        <f t="shared" si="55"/>
        <v>0.45593567391171747</v>
      </c>
      <c r="BL117" s="624">
        <f t="shared" si="56"/>
        <v>0.99999999999999978</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72.324801645764069</v>
      </c>
      <c r="BW117" s="114">
        <f t="shared" si="59"/>
        <v>0.72486494157885706</v>
      </c>
      <c r="BX117" s="1695">
        <f t="shared" si="25"/>
        <v>29.450466968101324</v>
      </c>
      <c r="BY117" s="527">
        <f t="shared" si="60"/>
        <v>72.324801645764069</v>
      </c>
      <c r="BZ117" s="417">
        <f t="shared" si="61"/>
        <v>0.72486494157885706</v>
      </c>
      <c r="CA117" s="544">
        <f t="shared" si="26"/>
        <v>29.450466968101324</v>
      </c>
      <c r="CB117" s="649">
        <f t="shared" si="27"/>
        <v>0.34885125932123828</v>
      </c>
      <c r="CC117" s="525">
        <f t="shared" si="62"/>
        <v>0.36120009506420703</v>
      </c>
      <c r="CD117" s="417">
        <f t="shared" si="28"/>
        <v>0.34885125932123828</v>
      </c>
      <c r="CE117" s="525">
        <f t="shared" si="63"/>
        <v>0.36120009506420703</v>
      </c>
      <c r="CG117" s="527">
        <f t="shared" si="64"/>
        <v>1850.4487670170176</v>
      </c>
      <c r="CH117" s="528">
        <f t="shared" si="65"/>
        <v>814.84353815972509</v>
      </c>
      <c r="CI117" s="528">
        <f t="shared" si="66"/>
        <v>3103.328383887264</v>
      </c>
      <c r="CJ117" s="528">
        <f t="shared" si="67"/>
        <v>3928.4236801781844</v>
      </c>
      <c r="CK117" s="528">
        <f t="shared" si="68"/>
        <v>47.282388426527689</v>
      </c>
      <c r="CL117" s="528">
        <f t="shared" si="69"/>
        <v>9744.3267576687176</v>
      </c>
      <c r="CM117" s="646">
        <f t="shared" si="70"/>
        <v>0</v>
      </c>
    </row>
    <row r="118" spans="1:91">
      <c r="A118" s="873">
        <f>'Input data'!A138</f>
        <v>2038</v>
      </c>
      <c r="B118" s="1553">
        <f>'Input data'!B138</f>
        <v>70.341999999999999</v>
      </c>
      <c r="C118" s="1552">
        <f>'Input data'!C138</f>
        <v>4590.03</v>
      </c>
      <c r="D118" s="1552">
        <f>'Input data'!D138</f>
        <v>26615538.132570967</v>
      </c>
      <c r="E118" s="1456">
        <f t="shared" si="88"/>
        <v>1</v>
      </c>
      <c r="F118" s="1506">
        <f t="shared" si="89"/>
        <v>0.36725000000000002</v>
      </c>
      <c r="G118" s="1513">
        <f>B118*F118*'Input data'!$C$9</f>
        <v>790.6752859677091</v>
      </c>
      <c r="H118" s="1544">
        <f>'Input data'!I138</f>
        <v>424.26313389388866</v>
      </c>
      <c r="I118" s="1511">
        <f>'Input data'!K138</f>
        <v>29843.517364363917</v>
      </c>
      <c r="J118" s="1511">
        <f t="shared" si="91"/>
        <v>2228.8083452440806</v>
      </c>
      <c r="K118" s="1513">
        <f t="shared" si="73"/>
        <v>11640.024730475034</v>
      </c>
      <c r="L118" s="1506">
        <f t="shared" si="90"/>
        <v>0.7</v>
      </c>
      <c r="M118" s="1506">
        <f t="shared" si="87"/>
        <v>0.6</v>
      </c>
      <c r="N118" s="1506">
        <f t="shared" si="87"/>
        <v>0.9</v>
      </c>
      <c r="O118" s="1506">
        <f t="shared" si="87"/>
        <v>0.9</v>
      </c>
      <c r="P118" s="1506">
        <f t="shared" si="87"/>
        <v>0.23600000000000002</v>
      </c>
      <c r="Q118" s="1510">
        <f t="shared" si="31"/>
        <v>319.54567337700382</v>
      </c>
      <c r="R118" s="1511">
        <f t="shared" si="32"/>
        <v>222.98890253188017</v>
      </c>
      <c r="S118" s="1511">
        <f t="shared" si="33"/>
        <v>653.00385274916562</v>
      </c>
      <c r="T118" s="1511">
        <f t="shared" si="34"/>
        <v>439.69191609956533</v>
      </c>
      <c r="U118" s="1513">
        <f t="shared" si="35"/>
        <v>0</v>
      </c>
      <c r="V118" s="1511">
        <f t="shared" si="9"/>
        <v>1635.2303447576151</v>
      </c>
      <c r="W118" s="1456">
        <f t="shared" si="86"/>
        <v>0.5</v>
      </c>
      <c r="X118" s="530">
        <f t="shared" si="36"/>
        <v>3033.4882588631699</v>
      </c>
      <c r="Y118" s="528">
        <f t="shared" si="77"/>
        <v>4668.718603620785</v>
      </c>
      <c r="Z118" s="528">
        <f t="shared" si="78"/>
        <v>9200.1144720983284</v>
      </c>
      <c r="AA118" s="530">
        <f t="shared" si="79"/>
        <v>6971.3061268542479</v>
      </c>
      <c r="AB118" s="1091">
        <f t="shared" si="37"/>
        <v>0.75774123767660662</v>
      </c>
      <c r="AC118" s="135" t="str">
        <f t="shared" si="38"/>
        <v>Yes</v>
      </c>
      <c r="AD118" s="1091">
        <f t="shared" si="39"/>
        <v>0.75774123767660662</v>
      </c>
      <c r="AE118" s="649">
        <f t="shared" si="10"/>
        <v>0.35126807367285373</v>
      </c>
      <c r="AF118" s="530">
        <f t="shared" si="11"/>
        <v>275.2330401205744</v>
      </c>
      <c r="AG118" s="527">
        <f t="shared" si="40"/>
        <v>2228.8083452440806</v>
      </c>
      <c r="AH118" s="528">
        <f t="shared" si="80"/>
        <v>9815.7730601164712</v>
      </c>
      <c r="AI118" s="528">
        <f t="shared" si="81"/>
        <v>6437.663217588939</v>
      </c>
      <c r="AJ118" s="528">
        <f t="shared" si="12"/>
        <v>878.19788521195244</v>
      </c>
      <c r="AK118" s="528">
        <f t="shared" si="41"/>
        <v>19360.442508161443</v>
      </c>
      <c r="AL118" s="716">
        <f t="shared" si="13"/>
        <v>0</v>
      </c>
      <c r="AM118" s="417">
        <f t="shared" si="42"/>
        <v>0.11512176667989489</v>
      </c>
      <c r="AN118" s="417">
        <f t="shared" si="43"/>
        <v>0.5070014828420687</v>
      </c>
      <c r="AO118" s="417">
        <f t="shared" si="44"/>
        <v>0.33251632626036964</v>
      </c>
      <c r="AP118" s="417">
        <f t="shared" si="45"/>
        <v>4.5360424217666818E-2</v>
      </c>
      <c r="AQ118" s="417">
        <f t="shared" si="46"/>
        <v>1</v>
      </c>
      <c r="AR118" s="1086">
        <f t="shared" si="14"/>
        <v>482.42020347222285</v>
      </c>
      <c r="AS118" s="938">
        <f t="shared" si="15"/>
        <v>611.83933033122571</v>
      </c>
      <c r="AT118" s="938">
        <f t="shared" si="16"/>
        <v>120.81228320518699</v>
      </c>
      <c r="AU118" s="938">
        <f t="shared" si="17"/>
        <v>0</v>
      </c>
      <c r="AV118" s="938">
        <f t="shared" si="18"/>
        <v>0</v>
      </c>
      <c r="AW118" s="938">
        <f t="shared" si="19"/>
        <v>0</v>
      </c>
      <c r="AX118" s="938">
        <f t="shared" si="20"/>
        <v>843.71266558397804</v>
      </c>
      <c r="AY118" s="938">
        <f t="shared" si="21"/>
        <v>67.960599277743668</v>
      </c>
      <c r="AZ118" s="938">
        <f t="shared" si="22"/>
        <v>19.103742312064188</v>
      </c>
      <c r="BA118" s="938">
        <f t="shared" si="23"/>
        <v>49.341245260033354</v>
      </c>
      <c r="BB118" s="938">
        <f t="shared" si="24"/>
        <v>33.618275801625273</v>
      </c>
      <c r="BC118" s="530">
        <f t="shared" si="47"/>
        <v>2228.8083452440801</v>
      </c>
      <c r="BD118" s="724">
        <f t="shared" si="48"/>
        <v>0</v>
      </c>
      <c r="BE118" s="436">
        <f t="shared" si="49"/>
        <v>0.21644759384611525</v>
      </c>
      <c r="BF118" s="624">
        <f t="shared" si="50"/>
        <v>0.27451410599605514</v>
      </c>
      <c r="BG118" s="624">
        <f t="shared" si="51"/>
        <v>5.4204877446273496E-2</v>
      </c>
      <c r="BH118" s="624">
        <f t="shared" si="52"/>
        <v>0</v>
      </c>
      <c r="BI118" s="624">
        <f t="shared" si="53"/>
        <v>0</v>
      </c>
      <c r="BJ118" s="624">
        <f t="shared" si="54"/>
        <v>0</v>
      </c>
      <c r="BK118" s="624">
        <f t="shared" si="55"/>
        <v>0.45483342271155608</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70.24064632225587</v>
      </c>
      <c r="BW118" s="114">
        <f t="shared" si="59"/>
        <v>0.74091737223920506</v>
      </c>
      <c r="BX118" s="1695">
        <f t="shared" si="25"/>
        <v>26.615538132570968</v>
      </c>
      <c r="BY118" s="527">
        <f t="shared" si="60"/>
        <v>70.24064632225587</v>
      </c>
      <c r="BZ118" s="417">
        <f t="shared" si="61"/>
        <v>0.74091737223920506</v>
      </c>
      <c r="CA118" s="544">
        <f t="shared" si="26"/>
        <v>26.615538132570968</v>
      </c>
      <c r="CB118" s="649">
        <f t="shared" si="27"/>
        <v>0.35126807367285373</v>
      </c>
      <c r="CC118" s="525">
        <f t="shared" si="62"/>
        <v>0.37787705294076901</v>
      </c>
      <c r="CD118" s="417">
        <f t="shared" si="28"/>
        <v>0.35126807367285373</v>
      </c>
      <c r="CE118" s="525">
        <f t="shared" si="63"/>
        <v>0.37787705294076901</v>
      </c>
      <c r="CG118" s="527">
        <f t="shared" si="64"/>
        <v>1864.0164280325228</v>
      </c>
      <c r="CH118" s="528">
        <f t="shared" si="65"/>
        <v>820.81804612962026</v>
      </c>
      <c r="CI118" s="528">
        <f t="shared" si="66"/>
        <v>3126.0822737991975</v>
      </c>
      <c r="CJ118" s="528">
        <f t="shared" si="67"/>
        <v>3957.2272448960889</v>
      </c>
      <c r="CK118" s="528">
        <f t="shared" si="68"/>
        <v>47.629067259040688</v>
      </c>
      <c r="CL118" s="528">
        <f t="shared" si="69"/>
        <v>9815.7730601164694</v>
      </c>
      <c r="CM118" s="646">
        <f t="shared" si="70"/>
        <v>0</v>
      </c>
    </row>
    <row r="119" spans="1:91">
      <c r="A119" s="873">
        <f>'Input data'!A139</f>
        <v>2039</v>
      </c>
      <c r="B119" s="1553">
        <f>'Input data'!B139</f>
        <v>70.856999999999999</v>
      </c>
      <c r="C119" s="1552">
        <f>'Input data'!C139</f>
        <v>4728.5300000000007</v>
      </c>
      <c r="D119" s="1552">
        <f>'Input data'!D139</f>
        <v>23780609.297040608</v>
      </c>
      <c r="E119" s="1456">
        <f t="shared" si="88"/>
        <v>1</v>
      </c>
      <c r="F119" s="1506">
        <f t="shared" si="89"/>
        <v>0.36725000000000002</v>
      </c>
      <c r="G119" s="1513">
        <f>B119*F119*'Input data'!$C$9</f>
        <v>796.46411443823001</v>
      </c>
      <c r="H119" s="1544">
        <f>'Input data'!I139</f>
        <v>424.26313389388866</v>
      </c>
      <c r="I119" s="1511">
        <f>'Input data'!K139</f>
        <v>30062.01287831927</v>
      </c>
      <c r="J119" s="1511">
        <f t="shared" si="91"/>
        <v>2228.8083452440806</v>
      </c>
      <c r="K119" s="1513">
        <f t="shared" si="73"/>
        <v>11741.563626639421</v>
      </c>
      <c r="L119" s="1506">
        <f t="shared" si="90"/>
        <v>0.7</v>
      </c>
      <c r="M119" s="1506">
        <f t="shared" si="87"/>
        <v>0.6</v>
      </c>
      <c r="N119" s="1506">
        <f t="shared" si="87"/>
        <v>0.9</v>
      </c>
      <c r="O119" s="1506">
        <f t="shared" si="87"/>
        <v>0.9</v>
      </c>
      <c r="P119" s="1506">
        <f t="shared" si="87"/>
        <v>0.23600000000000002</v>
      </c>
      <c r="Q119" s="1510">
        <f t="shared" si="31"/>
        <v>321.88518635344985</v>
      </c>
      <c r="R119" s="1511">
        <f t="shared" si="32"/>
        <v>224.62148740015118</v>
      </c>
      <c r="S119" s="1511">
        <f t="shared" si="33"/>
        <v>657.78473734394265</v>
      </c>
      <c r="T119" s="1511">
        <f t="shared" si="34"/>
        <v>442.91106450011193</v>
      </c>
      <c r="U119" s="1513">
        <f t="shared" si="35"/>
        <v>0</v>
      </c>
      <c r="V119" s="1511">
        <f t="shared" si="9"/>
        <v>1647.2024755976556</v>
      </c>
      <c r="W119" s="1456">
        <f t="shared" si="86"/>
        <v>0.5</v>
      </c>
      <c r="X119" s="530">
        <f t="shared" si="36"/>
        <v>3033.4882588631699</v>
      </c>
      <c r="Y119" s="528">
        <f t="shared" si="77"/>
        <v>4680.6907344608253</v>
      </c>
      <c r="Z119" s="528">
        <f t="shared" si="78"/>
        <v>9289.6812374226756</v>
      </c>
      <c r="AA119" s="530">
        <f t="shared" si="79"/>
        <v>7060.8728921785951</v>
      </c>
      <c r="AB119" s="1091">
        <f t="shared" si="37"/>
        <v>0.76007698345283159</v>
      </c>
      <c r="AC119" s="135" t="str">
        <f t="shared" si="38"/>
        <v>Yes</v>
      </c>
      <c r="AD119" s="1091">
        <f t="shared" si="39"/>
        <v>0.76007698345283159</v>
      </c>
      <c r="AE119" s="649">
        <f t="shared" si="10"/>
        <v>0.35366244539167624</v>
      </c>
      <c r="AF119" s="530">
        <f t="shared" si="11"/>
        <v>274.21719647143982</v>
      </c>
      <c r="AG119" s="527">
        <f t="shared" si="40"/>
        <v>2228.8083452440806</v>
      </c>
      <c r="AH119" s="528">
        <f t="shared" si="80"/>
        <v>9887.6379932426262</v>
      </c>
      <c r="AI119" s="528">
        <f t="shared" si="81"/>
        <v>6437.663217588939</v>
      </c>
      <c r="AJ119" s="528">
        <f t="shared" si="12"/>
        <v>876.09833430116885</v>
      </c>
      <c r="AK119" s="528">
        <f t="shared" si="41"/>
        <v>19430.207890376812</v>
      </c>
      <c r="AL119" s="716">
        <f t="shared" si="13"/>
        <v>0</v>
      </c>
      <c r="AM119" s="417">
        <f t="shared" si="42"/>
        <v>0.11470841474361894</v>
      </c>
      <c r="AN119" s="417">
        <f t="shared" si="43"/>
        <v>0.50887968101152792</v>
      </c>
      <c r="AO119" s="417">
        <f t="shared" si="44"/>
        <v>0.33132240549918751</v>
      </c>
      <c r="AP119" s="417">
        <f t="shared" si="45"/>
        <v>4.5089498745665688E-2</v>
      </c>
      <c r="AQ119" s="417">
        <f t="shared" si="46"/>
        <v>1</v>
      </c>
      <c r="AR119" s="1086">
        <f t="shared" si="14"/>
        <v>483.6160139562129</v>
      </c>
      <c r="AS119" s="938">
        <f t="shared" si="15"/>
        <v>613.35594153544469</v>
      </c>
      <c r="AT119" s="938">
        <f t="shared" si="16"/>
        <v>120.52345133311283</v>
      </c>
      <c r="AU119" s="938">
        <f t="shared" si="17"/>
        <v>0</v>
      </c>
      <c r="AV119" s="938">
        <f t="shared" si="18"/>
        <v>0</v>
      </c>
      <c r="AW119" s="938">
        <f t="shared" si="19"/>
        <v>0</v>
      </c>
      <c r="AX119" s="938">
        <f t="shared" si="20"/>
        <v>841.69556018518858</v>
      </c>
      <c r="AY119" s="938">
        <f t="shared" si="21"/>
        <v>67.798122527897519</v>
      </c>
      <c r="AZ119" s="938">
        <f t="shared" si="22"/>
        <v>19.058070054995461</v>
      </c>
      <c r="BA119" s="938">
        <f t="shared" si="23"/>
        <v>49.223282716318288</v>
      </c>
      <c r="BB119" s="938">
        <f t="shared" si="24"/>
        <v>33.537902934909425</v>
      </c>
      <c r="BC119" s="530">
        <f t="shared" si="47"/>
        <v>2228.8083452440796</v>
      </c>
      <c r="BD119" s="724">
        <f t="shared" si="48"/>
        <v>0</v>
      </c>
      <c r="BE119" s="436">
        <f t="shared" si="49"/>
        <v>0.21698411843628101</v>
      </c>
      <c r="BF119" s="624">
        <f t="shared" si="50"/>
        <v>0.27519456432593142</v>
      </c>
      <c r="BG119" s="624">
        <f t="shared" si="51"/>
        <v>5.4075287177693221E-2</v>
      </c>
      <c r="BH119" s="624">
        <f t="shared" si="52"/>
        <v>0</v>
      </c>
      <c r="BI119" s="624">
        <f t="shared" si="53"/>
        <v>0</v>
      </c>
      <c r="BJ119" s="624">
        <f t="shared" si="54"/>
        <v>0</v>
      </c>
      <c r="BK119" s="624">
        <f t="shared" si="55"/>
        <v>0.45374603006009434</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68.184958774848027</v>
      </c>
      <c r="BW119" s="114">
        <f t="shared" si="59"/>
        <v>0.75805259371141709</v>
      </c>
      <c r="BX119" s="1695">
        <f t="shared" si="25"/>
        <v>23.780609297040609</v>
      </c>
      <c r="BY119" s="527">
        <f t="shared" si="60"/>
        <v>68.184958774848027</v>
      </c>
      <c r="BZ119" s="417">
        <f t="shared" si="61"/>
        <v>0.75805259371141709</v>
      </c>
      <c r="CA119" s="544">
        <f t="shared" si="26"/>
        <v>23.780609297040609</v>
      </c>
      <c r="CB119" s="649">
        <f t="shared" si="27"/>
        <v>0.35366244539167624</v>
      </c>
      <c r="CC119" s="525">
        <f t="shared" si="62"/>
        <v>0.39521158860047567</v>
      </c>
      <c r="CD119" s="417">
        <f t="shared" si="28"/>
        <v>0.35366244539167624</v>
      </c>
      <c r="CE119" s="525">
        <f t="shared" si="63"/>
        <v>0.39521158860047567</v>
      </c>
      <c r="CG119" s="527">
        <f t="shared" si="64"/>
        <v>1877.6635870617906</v>
      </c>
      <c r="CH119" s="528">
        <f t="shared" si="65"/>
        <v>826.82756098215168</v>
      </c>
      <c r="CI119" s="528">
        <f t="shared" si="66"/>
        <v>3148.9694872848336</v>
      </c>
      <c r="CJ119" s="528">
        <f t="shared" si="67"/>
        <v>3986.1995805010115</v>
      </c>
      <c r="CK119" s="528">
        <f t="shared" si="68"/>
        <v>47.977777412837938</v>
      </c>
      <c r="CL119" s="528">
        <f t="shared" si="69"/>
        <v>9887.6379932426262</v>
      </c>
      <c r="CM119" s="646">
        <f t="shared" si="70"/>
        <v>0</v>
      </c>
    </row>
    <row r="120" spans="1:91">
      <c r="A120" s="873">
        <f>'Input data'!A140</f>
        <v>2040</v>
      </c>
      <c r="B120" s="1553">
        <f>'Input data'!B140</f>
        <v>71.375</v>
      </c>
      <c r="C120" s="1552">
        <f>'Input data'!C140</f>
        <v>4875.51</v>
      </c>
      <c r="D120" s="1552">
        <f>'Input data'!D140</f>
        <v>20945680.461510252</v>
      </c>
      <c r="E120" s="1456">
        <f t="shared" si="88"/>
        <v>1</v>
      </c>
      <c r="F120" s="1506">
        <f t="shared" si="89"/>
        <v>0.36725000000000002</v>
      </c>
      <c r="G120" s="1513">
        <f>B120*F120*'Input data'!$C$9</f>
        <v>802.28666423964694</v>
      </c>
      <c r="H120" s="1544">
        <f>'Input data'!I140</f>
        <v>424.26313389388866</v>
      </c>
      <c r="I120" s="1511">
        <f>'Input data'!K140</f>
        <v>30281.781181676302</v>
      </c>
      <c r="J120" s="1511">
        <f t="shared" si="91"/>
        <v>2228.8083452440806</v>
      </c>
      <c r="K120" s="1513">
        <f t="shared" si="73"/>
        <v>11843.694011519328</v>
      </c>
      <c r="L120" s="1506">
        <f t="shared" si="90"/>
        <v>0.7</v>
      </c>
      <c r="M120" s="1506">
        <f t="shared" si="87"/>
        <v>0.6</v>
      </c>
      <c r="N120" s="1506">
        <f t="shared" si="87"/>
        <v>0.9</v>
      </c>
      <c r="O120" s="1506">
        <f t="shared" si="87"/>
        <v>0.9</v>
      </c>
      <c r="P120" s="1506">
        <f t="shared" si="87"/>
        <v>0.23600000000000002</v>
      </c>
      <c r="Q120" s="1510">
        <f t="shared" si="31"/>
        <v>324.23832756082652</v>
      </c>
      <c r="R120" s="1511">
        <f t="shared" si="32"/>
        <v>226.26358247153826</v>
      </c>
      <c r="S120" s="1511">
        <f t="shared" si="33"/>
        <v>662.5934717518935</v>
      </c>
      <c r="T120" s="1511">
        <f t="shared" si="34"/>
        <v>446.14896522143908</v>
      </c>
      <c r="U120" s="1513">
        <f t="shared" si="35"/>
        <v>0</v>
      </c>
      <c r="V120" s="1511">
        <f t="shared" si="9"/>
        <v>1659.2443470056974</v>
      </c>
      <c r="W120" s="1456">
        <f t="shared" si="86"/>
        <v>0.5</v>
      </c>
      <c r="X120" s="530">
        <f t="shared" si="36"/>
        <v>3033.4882588631699</v>
      </c>
      <c r="Y120" s="528">
        <f t="shared" si="77"/>
        <v>4692.7326058688668</v>
      </c>
      <c r="Z120" s="528">
        <f t="shared" si="78"/>
        <v>9379.7697508945421</v>
      </c>
      <c r="AA120" s="530">
        <f t="shared" si="79"/>
        <v>7150.9614056504615</v>
      </c>
      <c r="AB120" s="1091">
        <f t="shared" si="37"/>
        <v>0.76238133723575452</v>
      </c>
      <c r="AC120" s="135" t="str">
        <f t="shared" si="38"/>
        <v>Yes</v>
      </c>
      <c r="AD120" s="1091">
        <f t="shared" si="39"/>
        <v>0.76238133723575452</v>
      </c>
      <c r="AE120" s="649">
        <f t="shared" si="10"/>
        <v>0.35603457392895366</v>
      </c>
      <c r="AF120" s="530">
        <f t="shared" si="11"/>
        <v>273.21078978421536</v>
      </c>
      <c r="AG120" s="527">
        <f t="shared" si="40"/>
        <v>2228.8083452440806</v>
      </c>
      <c r="AH120" s="528">
        <f t="shared" si="80"/>
        <v>9959.9215570471843</v>
      </c>
      <c r="AI120" s="528">
        <f t="shared" si="81"/>
        <v>6437.663217588939</v>
      </c>
      <c r="AJ120" s="528">
        <f t="shared" si="12"/>
        <v>874.02700096817136</v>
      </c>
      <c r="AK120" s="528">
        <f t="shared" si="41"/>
        <v>19500.420120848372</v>
      </c>
      <c r="AL120" s="716">
        <f t="shared" si="13"/>
        <v>0</v>
      </c>
      <c r="AM120" s="417">
        <f t="shared" si="42"/>
        <v>0.11429540140323477</v>
      </c>
      <c r="AN120" s="417">
        <f t="shared" si="43"/>
        <v>0.51075420402859883</v>
      </c>
      <c r="AO120" s="417">
        <f t="shared" si="44"/>
        <v>0.33012946273430682</v>
      </c>
      <c r="AP120" s="417">
        <f t="shared" si="45"/>
        <v>4.4820931833859719E-2</v>
      </c>
      <c r="AQ120" s="417">
        <f t="shared" si="46"/>
        <v>1.0000000000000002</v>
      </c>
      <c r="AR120" s="1086">
        <f t="shared" si="14"/>
        <v>484.79575296740592</v>
      </c>
      <c r="AS120" s="938">
        <f t="shared" si="15"/>
        <v>614.85216976423521</v>
      </c>
      <c r="AT120" s="938">
        <f t="shared" si="16"/>
        <v>120.23850130823543</v>
      </c>
      <c r="AU120" s="938">
        <f t="shared" si="17"/>
        <v>0</v>
      </c>
      <c r="AV120" s="938">
        <f t="shared" si="18"/>
        <v>0</v>
      </c>
      <c r="AW120" s="938">
        <f t="shared" si="19"/>
        <v>0</v>
      </c>
      <c r="AX120" s="938">
        <f t="shared" si="20"/>
        <v>839.70556431167938</v>
      </c>
      <c r="AY120" s="938">
        <f t="shared" si="21"/>
        <v>67.637829435662979</v>
      </c>
      <c r="AZ120" s="938">
        <f t="shared" si="22"/>
        <v>19.013011624654929</v>
      </c>
      <c r="BA120" s="938">
        <f t="shared" si="23"/>
        <v>49.106905567477703</v>
      </c>
      <c r="BB120" s="938">
        <f t="shared" si="24"/>
        <v>33.458610264728378</v>
      </c>
      <c r="BC120" s="530">
        <f t="shared" si="47"/>
        <v>2228.8083452440801</v>
      </c>
      <c r="BD120" s="724">
        <f t="shared" si="48"/>
        <v>0</v>
      </c>
      <c r="BE120" s="436">
        <f t="shared" si="49"/>
        <v>0.2175134322347107</v>
      </c>
      <c r="BF120" s="624">
        <f t="shared" si="50"/>
        <v>0.27586587742110319</v>
      </c>
      <c r="BG120" s="624">
        <f t="shared" si="51"/>
        <v>5.3947438578469578E-2</v>
      </c>
      <c r="BH120" s="624">
        <f t="shared" si="52"/>
        <v>0</v>
      </c>
      <c r="BI120" s="624">
        <f t="shared" si="53"/>
        <v>0</v>
      </c>
      <c r="BJ120" s="624">
        <f t="shared" si="54"/>
        <v>0</v>
      </c>
      <c r="BK120" s="624">
        <f t="shared" si="55"/>
        <v>0.45267325176571649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67.293690859519771</v>
      </c>
      <c r="BW120" s="114">
        <f t="shared" si="59"/>
        <v>0.76347336858080095</v>
      </c>
      <c r="BX120" s="1695">
        <f t="shared" si="25"/>
        <v>20.945680461510253</v>
      </c>
      <c r="BY120" s="527">
        <f t="shared" si="60"/>
        <v>67.293690859519771</v>
      </c>
      <c r="BZ120" s="417">
        <f t="shared" si="61"/>
        <v>0.76347336858080095</v>
      </c>
      <c r="CA120" s="544">
        <f t="shared" si="26"/>
        <v>20.945680461510253</v>
      </c>
      <c r="CB120" s="649">
        <f t="shared" si="27"/>
        <v>0.35603457392895366</v>
      </c>
      <c r="CC120" s="525">
        <f t="shared" si="62"/>
        <v>0.39917621913890244</v>
      </c>
      <c r="CD120" s="417">
        <f t="shared" si="28"/>
        <v>0.35603457392895366</v>
      </c>
      <c r="CE120" s="525">
        <f t="shared" si="63"/>
        <v>0.39917621913890244</v>
      </c>
      <c r="CG120" s="527">
        <f t="shared" si="64"/>
        <v>1891.3902441048208</v>
      </c>
      <c r="CH120" s="528">
        <f t="shared" si="65"/>
        <v>832.87208271731902</v>
      </c>
      <c r="CI120" s="528">
        <f t="shared" si="66"/>
        <v>3171.9900243441716</v>
      </c>
      <c r="CJ120" s="528">
        <f t="shared" si="67"/>
        <v>4015.3406869929536</v>
      </c>
      <c r="CK120" s="528">
        <f t="shared" si="68"/>
        <v>48.328518887919429</v>
      </c>
      <c r="CL120" s="528">
        <f t="shared" si="69"/>
        <v>9959.9215570471843</v>
      </c>
      <c r="CM120" s="646">
        <f t="shared" si="70"/>
        <v>0</v>
      </c>
    </row>
    <row r="121" spans="1:91">
      <c r="A121" s="873">
        <f>'Input data'!A141</f>
        <v>2041</v>
      </c>
      <c r="B121" s="1553">
        <f>'Input data'!B141</f>
        <v>71.819000000000003</v>
      </c>
      <c r="C121" s="1552">
        <f>'Input data'!C141</f>
        <v>5028.54</v>
      </c>
      <c r="D121" s="1552">
        <f>'Input data'!D141</f>
        <v>19664699.523913871</v>
      </c>
      <c r="E121" s="1456">
        <f t="shared" si="88"/>
        <v>1</v>
      </c>
      <c r="F121" s="1506">
        <f t="shared" si="89"/>
        <v>0.36725000000000002</v>
      </c>
      <c r="G121" s="1513">
        <f>B121*F121*'Input data'!$C$9</f>
        <v>807.27742121229016</v>
      </c>
      <c r="H121" s="1544">
        <f>'Input data'!I141</f>
        <v>424.26313389388866</v>
      </c>
      <c r="I121" s="1511">
        <f>'Input data'!K141</f>
        <v>30470.15401312519</v>
      </c>
      <c r="J121" s="1511">
        <f t="shared" si="91"/>
        <v>2228.8083452440806</v>
      </c>
      <c r="K121" s="1513">
        <f t="shared" si="73"/>
        <v>11931.234341416392</v>
      </c>
      <c r="L121" s="1506">
        <f t="shared" si="90"/>
        <v>0.7</v>
      </c>
      <c r="M121" s="1506">
        <f t="shared" si="87"/>
        <v>0.6</v>
      </c>
      <c r="N121" s="1506">
        <f t="shared" si="87"/>
        <v>0.9</v>
      </c>
      <c r="O121" s="1506">
        <f t="shared" si="87"/>
        <v>0.9</v>
      </c>
      <c r="P121" s="1506">
        <f t="shared" si="87"/>
        <v>0.23600000000000002</v>
      </c>
      <c r="Q121" s="1510">
        <f t="shared" si="31"/>
        <v>326.25530573857804</v>
      </c>
      <c r="R121" s="1511">
        <f t="shared" si="32"/>
        <v>227.67109253272724</v>
      </c>
      <c r="S121" s="1511">
        <f t="shared" si="33"/>
        <v>666.71524410156553</v>
      </c>
      <c r="T121" s="1511">
        <f t="shared" si="34"/>
        <v>448.92430869686177</v>
      </c>
      <c r="U121" s="1513">
        <f t="shared" si="35"/>
        <v>0</v>
      </c>
      <c r="V121" s="1511">
        <f t="shared" si="9"/>
        <v>1669.5659510697326</v>
      </c>
      <c r="W121" s="1456">
        <f t="shared" si="86"/>
        <v>0.5</v>
      </c>
      <c r="X121" s="530">
        <f t="shared" si="36"/>
        <v>3033.4882588631699</v>
      </c>
      <c r="Y121" s="528">
        <f t="shared" si="77"/>
        <v>4703.0542099329023</v>
      </c>
      <c r="Z121" s="528">
        <f t="shared" si="78"/>
        <v>9456.9884767275689</v>
      </c>
      <c r="AA121" s="530">
        <f t="shared" si="79"/>
        <v>7228.1801314834884</v>
      </c>
      <c r="AB121" s="1091">
        <f t="shared" si="37"/>
        <v>0.76432155429512361</v>
      </c>
      <c r="AC121" s="135" t="str">
        <f t="shared" si="38"/>
        <v>Yes</v>
      </c>
      <c r="AD121" s="1091">
        <f t="shared" si="39"/>
        <v>0.76432155429512361</v>
      </c>
      <c r="AE121" s="649">
        <f t="shared" si="10"/>
        <v>0.35803956113748092</v>
      </c>
      <c r="AF121" s="530">
        <f t="shared" si="11"/>
        <v>272.36014762770844</v>
      </c>
      <c r="AG121" s="527">
        <f t="shared" si="40"/>
        <v>2228.8083452440806</v>
      </c>
      <c r="AH121" s="528">
        <f t="shared" si="80"/>
        <v>10021.878897451094</v>
      </c>
      <c r="AI121" s="528">
        <f t="shared" si="81"/>
        <v>6437.663217588939</v>
      </c>
      <c r="AJ121" s="528">
        <f t="shared" si="12"/>
        <v>872.28298219028011</v>
      </c>
      <c r="AK121" s="528">
        <f t="shared" si="41"/>
        <v>19560.633442474395</v>
      </c>
      <c r="AL121" s="716">
        <f t="shared" si="13"/>
        <v>0</v>
      </c>
      <c r="AM121" s="417">
        <f t="shared" si="42"/>
        <v>0.1139435668992394</v>
      </c>
      <c r="AN121" s="417">
        <f t="shared" si="43"/>
        <v>0.51234940457957578</v>
      </c>
      <c r="AO121" s="417">
        <f t="shared" si="44"/>
        <v>0.3291132281846279</v>
      </c>
      <c r="AP121" s="417">
        <f t="shared" si="45"/>
        <v>4.4593800336556862E-2</v>
      </c>
      <c r="AQ121" s="417">
        <f t="shared" si="46"/>
        <v>1</v>
      </c>
      <c r="AR121" s="1086">
        <f t="shared" si="14"/>
        <v>485.78906821790366</v>
      </c>
      <c r="AS121" s="938">
        <f t="shared" si="15"/>
        <v>616.11196223001104</v>
      </c>
      <c r="AT121" s="938">
        <f t="shared" si="16"/>
        <v>119.99857942495859</v>
      </c>
      <c r="AU121" s="938">
        <f t="shared" si="17"/>
        <v>0</v>
      </c>
      <c r="AV121" s="938">
        <f t="shared" si="18"/>
        <v>0</v>
      </c>
      <c r="AW121" s="938">
        <f t="shared" si="19"/>
        <v>0</v>
      </c>
      <c r="AX121" s="938">
        <f t="shared" si="20"/>
        <v>838.03002995125678</v>
      </c>
      <c r="AY121" s="938">
        <f t="shared" si="21"/>
        <v>67.502866048375225</v>
      </c>
      <c r="AZ121" s="938">
        <f t="shared" si="22"/>
        <v>18.975073381029834</v>
      </c>
      <c r="BA121" s="938">
        <f t="shared" si="23"/>
        <v>49.008918474013925</v>
      </c>
      <c r="BB121" s="938">
        <f t="shared" si="24"/>
        <v>33.391847516530447</v>
      </c>
      <c r="BC121" s="530">
        <f t="shared" si="47"/>
        <v>2228.8083452440796</v>
      </c>
      <c r="BD121" s="724">
        <f t="shared" si="48"/>
        <v>0</v>
      </c>
      <c r="BE121" s="436">
        <f t="shared" si="49"/>
        <v>0.21795910323761117</v>
      </c>
      <c r="BF121" s="624">
        <f t="shared" si="50"/>
        <v>0.27643110882310512</v>
      </c>
      <c r="BG121" s="624">
        <f t="shared" si="51"/>
        <v>5.3839792766846174E-2</v>
      </c>
      <c r="BH121" s="624">
        <f t="shared" si="52"/>
        <v>0</v>
      </c>
      <c r="BI121" s="624">
        <f t="shared" si="53"/>
        <v>0</v>
      </c>
      <c r="BJ121" s="624">
        <f t="shared" si="54"/>
        <v>0</v>
      </c>
      <c r="BK121" s="624">
        <f t="shared" si="55"/>
        <v>0.45176999517243749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67.62541865001316</v>
      </c>
      <c r="BW121" s="114">
        <f t="shared" si="59"/>
        <v>0.76463361953968378</v>
      </c>
      <c r="BX121" s="1695">
        <f t="shared" si="25"/>
        <v>19.664699523913871</v>
      </c>
      <c r="BY121" s="527">
        <f t="shared" si="60"/>
        <v>67.62541865001316</v>
      </c>
      <c r="BZ121" s="417">
        <f t="shared" si="61"/>
        <v>0.76463361953968378</v>
      </c>
      <c r="CA121" s="544">
        <f t="shared" si="26"/>
        <v>19.664699523913871</v>
      </c>
      <c r="CB121" s="649">
        <f t="shared" si="27"/>
        <v>0.35803956113748092</v>
      </c>
      <c r="CC121" s="525">
        <f t="shared" si="62"/>
        <v>0.39997456790101549</v>
      </c>
      <c r="CD121" s="417">
        <f t="shared" si="28"/>
        <v>0.35803956113748092</v>
      </c>
      <c r="CE121" s="525">
        <f t="shared" si="63"/>
        <v>0.39997456790101549</v>
      </c>
      <c r="CG121" s="527">
        <f t="shared" si="64"/>
        <v>1903.1559501417041</v>
      </c>
      <c r="CH121" s="528">
        <f t="shared" si="65"/>
        <v>838.05310134746253</v>
      </c>
      <c r="CI121" s="528">
        <f t="shared" si="66"/>
        <v>3191.7219132521759</v>
      </c>
      <c r="CJ121" s="528">
        <f t="shared" si="67"/>
        <v>4040.3187782717609</v>
      </c>
      <c r="CK121" s="528">
        <f t="shared" si="68"/>
        <v>48.629154437989293</v>
      </c>
      <c r="CL121" s="528">
        <f t="shared" si="69"/>
        <v>10021.878897451094</v>
      </c>
      <c r="CM121" s="646">
        <f t="shared" si="70"/>
        <v>0</v>
      </c>
    </row>
    <row r="122" spans="1:91">
      <c r="A122" s="873">
        <f>'Input data'!A142</f>
        <v>2042</v>
      </c>
      <c r="B122" s="1553">
        <f>'Input data'!B142</f>
        <v>72.265000000000001</v>
      </c>
      <c r="C122" s="1552">
        <f>'Input data'!C142</f>
        <v>5188.1000000000004</v>
      </c>
      <c r="D122" s="1552">
        <f>'Input data'!D142</f>
        <v>18383718.586317491</v>
      </c>
      <c r="E122" s="1456">
        <f t="shared" si="88"/>
        <v>1</v>
      </c>
      <c r="F122" s="1506">
        <f t="shared" si="89"/>
        <v>0.36725000000000002</v>
      </c>
      <c r="G122" s="1513">
        <f>B122*F122*'Input data'!$C$9</f>
        <v>812.29065907219729</v>
      </c>
      <c r="H122" s="1544">
        <f>'Input data'!I142</f>
        <v>424.26313389388866</v>
      </c>
      <c r="I122" s="1511">
        <f>'Input data'!K142</f>
        <v>30659.375370841866</v>
      </c>
      <c r="J122" s="1511">
        <f t="shared" si="91"/>
        <v>2228.8083452440806</v>
      </c>
      <c r="K122" s="1513">
        <f t="shared" si="73"/>
        <v>12019.168997123805</v>
      </c>
      <c r="L122" s="1506">
        <f t="shared" si="90"/>
        <v>0.7</v>
      </c>
      <c r="M122" s="1506">
        <f t="shared" si="87"/>
        <v>0.6</v>
      </c>
      <c r="N122" s="1506">
        <f t="shared" si="87"/>
        <v>0.9</v>
      </c>
      <c r="O122" s="1506">
        <f t="shared" si="87"/>
        <v>0.9</v>
      </c>
      <c r="P122" s="1506">
        <f t="shared" si="87"/>
        <v>0.23600000000000002</v>
      </c>
      <c r="Q122" s="1510">
        <f t="shared" si="31"/>
        <v>328.28136940361651</v>
      </c>
      <c r="R122" s="1511">
        <f t="shared" si="32"/>
        <v>229.08494272932694</v>
      </c>
      <c r="S122" s="1511">
        <f t="shared" si="33"/>
        <v>670.85558299335344</v>
      </c>
      <c r="T122" s="1511">
        <f t="shared" si="34"/>
        <v>451.71215371947164</v>
      </c>
      <c r="U122" s="1513">
        <f t="shared" si="35"/>
        <v>0</v>
      </c>
      <c r="V122" s="1511">
        <f t="shared" si="9"/>
        <v>1679.9340488457685</v>
      </c>
      <c r="W122" s="1456">
        <f t="shared" si="86"/>
        <v>0.5</v>
      </c>
      <c r="X122" s="530">
        <f t="shared" si="36"/>
        <v>3033.4882588631699</v>
      </c>
      <c r="Y122" s="528">
        <f t="shared" si="77"/>
        <v>4713.4223077089382</v>
      </c>
      <c r="Z122" s="528">
        <f t="shared" si="78"/>
        <v>9534.555034658948</v>
      </c>
      <c r="AA122" s="530">
        <f t="shared" si="79"/>
        <v>7305.7466894148674</v>
      </c>
      <c r="AB122" s="1091">
        <f t="shared" si="37"/>
        <v>0.76623887143740155</v>
      </c>
      <c r="AC122" s="135" t="str">
        <f t="shared" si="38"/>
        <v>Yes</v>
      </c>
      <c r="AD122" s="1091">
        <f t="shared" si="39"/>
        <v>0.76623887143740155</v>
      </c>
      <c r="AE122" s="649">
        <f t="shared" si="10"/>
        <v>0.36002784798689913</v>
      </c>
      <c r="AF122" s="530">
        <f t="shared" si="11"/>
        <v>271.51659081789433</v>
      </c>
      <c r="AG122" s="527">
        <f t="shared" si="40"/>
        <v>2228.8083452440806</v>
      </c>
      <c r="AH122" s="528">
        <f t="shared" si="80"/>
        <v>10084.11532497394</v>
      </c>
      <c r="AI122" s="528">
        <f t="shared" si="81"/>
        <v>6437.663217588939</v>
      </c>
      <c r="AJ122" s="528">
        <f t="shared" si="12"/>
        <v>870.55954764817159</v>
      </c>
      <c r="AK122" s="528">
        <f t="shared" si="41"/>
        <v>19621.146435455132</v>
      </c>
      <c r="AL122" s="716">
        <f t="shared" si="13"/>
        <v>0</v>
      </c>
      <c r="AM122" s="417">
        <f t="shared" si="42"/>
        <v>0.11359215694026195</v>
      </c>
      <c r="AN122" s="417">
        <f t="shared" si="43"/>
        <v>0.51394118881616868</v>
      </c>
      <c r="AO122" s="417">
        <f t="shared" si="44"/>
        <v>0.32809821988567262</v>
      </c>
      <c r="AP122" s="417">
        <f t="shared" si="45"/>
        <v>4.4368434357896787E-2</v>
      </c>
      <c r="AQ122" s="417">
        <f t="shared" si="46"/>
        <v>1</v>
      </c>
      <c r="AR122" s="1086">
        <f t="shared" si="14"/>
        <v>486.77065960649031</v>
      </c>
      <c r="AS122" s="938">
        <f t="shared" si="15"/>
        <v>617.35688566714964</v>
      </c>
      <c r="AT122" s="938">
        <f t="shared" si="16"/>
        <v>119.7614892821868</v>
      </c>
      <c r="AU122" s="938">
        <f t="shared" si="17"/>
        <v>0</v>
      </c>
      <c r="AV122" s="938">
        <f t="shared" si="18"/>
        <v>0</v>
      </c>
      <c r="AW122" s="938">
        <f t="shared" si="19"/>
        <v>0</v>
      </c>
      <c r="AX122" s="938">
        <f t="shared" si="20"/>
        <v>836.37427152144573</v>
      </c>
      <c r="AY122" s="938">
        <f t="shared" si="21"/>
        <v>67.369495601611533</v>
      </c>
      <c r="AZ122" s="938">
        <f t="shared" si="22"/>
        <v>18.93758291340448</v>
      </c>
      <c r="BA122" s="938">
        <f t="shared" si="23"/>
        <v>48.912087898737227</v>
      </c>
      <c r="BB122" s="938">
        <f t="shared" si="24"/>
        <v>33.32587275305368</v>
      </c>
      <c r="BC122" s="530">
        <f t="shared" si="47"/>
        <v>2228.8083452440796</v>
      </c>
      <c r="BD122" s="724">
        <f t="shared" si="48"/>
        <v>0</v>
      </c>
      <c r="BE122" s="436">
        <f t="shared" si="49"/>
        <v>0.21839951409244363</v>
      </c>
      <c r="BF122" s="624">
        <f t="shared" si="50"/>
        <v>0.27698966893429416</v>
      </c>
      <c r="BG122" s="624">
        <f t="shared" si="51"/>
        <v>5.373341747294632E-2</v>
      </c>
      <c r="BH122" s="624">
        <f t="shared" si="52"/>
        <v>0</v>
      </c>
      <c r="BI122" s="624">
        <f t="shared" si="53"/>
        <v>0</v>
      </c>
      <c r="BJ122" s="624">
        <f t="shared" si="54"/>
        <v>0</v>
      </c>
      <c r="BK122" s="624">
        <f t="shared" si="55"/>
        <v>0.4508773995003158</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67.990896492118125</v>
      </c>
      <c r="BW122" s="114">
        <f t="shared" si="59"/>
        <v>0.76589880651724729</v>
      </c>
      <c r="BX122" s="1695">
        <f t="shared" si="25"/>
        <v>18.383718586317492</v>
      </c>
      <c r="BY122" s="527">
        <f t="shared" si="60"/>
        <v>67.990896492118125</v>
      </c>
      <c r="BZ122" s="417">
        <f t="shared" si="61"/>
        <v>0.76589880651724729</v>
      </c>
      <c r="CA122" s="544">
        <f t="shared" si="26"/>
        <v>18.383718586317492</v>
      </c>
      <c r="CB122" s="649">
        <f t="shared" si="27"/>
        <v>0.36002784798689913</v>
      </c>
      <c r="CC122" s="525">
        <f t="shared" si="62"/>
        <v>0.40093007692232452</v>
      </c>
      <c r="CD122" s="417">
        <f t="shared" si="28"/>
        <v>0.36002784798689913</v>
      </c>
      <c r="CE122" s="525">
        <f t="shared" si="63"/>
        <v>0.40093007692232452</v>
      </c>
      <c r="CG122" s="527">
        <f t="shared" si="64"/>
        <v>1914.9746548544294</v>
      </c>
      <c r="CH122" s="528">
        <f t="shared" si="65"/>
        <v>843.25745789936332</v>
      </c>
      <c r="CI122" s="528">
        <f t="shared" si="66"/>
        <v>3211.5426845426491</v>
      </c>
      <c r="CJ122" s="528">
        <f t="shared" si="67"/>
        <v>4065.4093834752475</v>
      </c>
      <c r="CK122" s="528">
        <f t="shared" si="68"/>
        <v>48.93114420224866</v>
      </c>
      <c r="CL122" s="528">
        <f t="shared" si="69"/>
        <v>10084.115324973936</v>
      </c>
      <c r="CM122" s="646">
        <f t="shared" si="70"/>
        <v>0</v>
      </c>
    </row>
    <row r="123" spans="1:91">
      <c r="A123" s="873">
        <f>'Input data'!A143</f>
        <v>2043</v>
      </c>
      <c r="B123" s="1553">
        <f>'Input data'!B143</f>
        <v>72.713999999999999</v>
      </c>
      <c r="C123" s="1552">
        <f>'Input data'!C143</f>
        <v>5353.7899999999991</v>
      </c>
      <c r="D123" s="1552">
        <f>'Input data'!D143</f>
        <v>17102737.64872111</v>
      </c>
      <c r="E123" s="1456">
        <f t="shared" si="88"/>
        <v>1</v>
      </c>
      <c r="F123" s="1506">
        <f t="shared" si="89"/>
        <v>0.36725000000000002</v>
      </c>
      <c r="G123" s="1513">
        <f>B123*F123*'Input data'!$C$9</f>
        <v>817.33761826300088</v>
      </c>
      <c r="H123" s="1544">
        <f>'Input data'!I143</f>
        <v>424.26313389388866</v>
      </c>
      <c r="I123" s="1511">
        <f>'Input data'!K143</f>
        <v>30849.869517960218</v>
      </c>
      <c r="J123" s="1511">
        <f t="shared" si="91"/>
        <v>2228.8083452440806</v>
      </c>
      <c r="K123" s="1513">
        <f t="shared" si="73"/>
        <v>12107.695141546736</v>
      </c>
      <c r="L123" s="1506">
        <f t="shared" si="90"/>
        <v>0.7</v>
      </c>
      <c r="M123" s="1506">
        <f t="shared" si="87"/>
        <v>0.6</v>
      </c>
      <c r="N123" s="1506">
        <f t="shared" si="87"/>
        <v>0.9</v>
      </c>
      <c r="O123" s="1506">
        <f t="shared" si="87"/>
        <v>0.9</v>
      </c>
      <c r="P123" s="1506">
        <f t="shared" si="87"/>
        <v>0.23600000000000002</v>
      </c>
      <c r="Q123" s="1510">
        <f t="shared" si="31"/>
        <v>330.32106129958584</v>
      </c>
      <c r="R123" s="1511">
        <f t="shared" si="32"/>
        <v>230.50830312904282</v>
      </c>
      <c r="S123" s="1511">
        <f t="shared" si="33"/>
        <v>675.02377169831425</v>
      </c>
      <c r="T123" s="1511">
        <f t="shared" si="34"/>
        <v>454.51875106286116</v>
      </c>
      <c r="U123" s="1513">
        <f t="shared" si="35"/>
        <v>0</v>
      </c>
      <c r="V123" s="1511">
        <f t="shared" si="9"/>
        <v>1690.3718871898041</v>
      </c>
      <c r="W123" s="1456">
        <f t="shared" si="86"/>
        <v>0.5</v>
      </c>
      <c r="X123" s="530">
        <f t="shared" si="36"/>
        <v>3033.4882588631699</v>
      </c>
      <c r="Y123" s="528">
        <f t="shared" si="77"/>
        <v>4723.8601460529735</v>
      </c>
      <c r="Z123" s="528">
        <f t="shared" si="78"/>
        <v>9612.6433407378427</v>
      </c>
      <c r="AA123" s="530">
        <f t="shared" si="79"/>
        <v>7383.8349954937621</v>
      </c>
      <c r="AB123" s="1091">
        <f t="shared" si="37"/>
        <v>0.76813782991422186</v>
      </c>
      <c r="AC123" s="135" t="str">
        <f t="shared" si="38"/>
        <v>Yes</v>
      </c>
      <c r="AD123" s="1091">
        <f t="shared" si="39"/>
        <v>0.76813782991422186</v>
      </c>
      <c r="AE123" s="649">
        <f t="shared" si="10"/>
        <v>0.36200396083168174</v>
      </c>
      <c r="AF123" s="530">
        <f t="shared" si="11"/>
        <v>270.67819898943884</v>
      </c>
      <c r="AG123" s="527">
        <f t="shared" si="40"/>
        <v>2228.8083452440806</v>
      </c>
      <c r="AH123" s="528">
        <f t="shared" si="80"/>
        <v>10146.770383175188</v>
      </c>
      <c r="AI123" s="528">
        <f t="shared" si="81"/>
        <v>6437.663217588939</v>
      </c>
      <c r="AJ123" s="528">
        <f t="shared" si="12"/>
        <v>868.85261530984496</v>
      </c>
      <c r="AK123" s="528">
        <f t="shared" si="41"/>
        <v>19682.094561318056</v>
      </c>
      <c r="AL123" s="716">
        <f t="shared" si="13"/>
        <v>0</v>
      </c>
      <c r="AM123" s="417">
        <f t="shared" si="42"/>
        <v>0.11324040428219664</v>
      </c>
      <c r="AN123" s="417">
        <f t="shared" si="43"/>
        <v>0.51553305729548771</v>
      </c>
      <c r="AO123" s="417">
        <f t="shared" si="44"/>
        <v>0.32708222173879375</v>
      </c>
      <c r="AP123" s="417">
        <f t="shared" si="45"/>
        <v>4.4144316683521728E-2</v>
      </c>
      <c r="AQ123" s="417">
        <f t="shared" si="46"/>
        <v>0.99999999999999978</v>
      </c>
      <c r="AR123" s="1086">
        <f t="shared" si="14"/>
        <v>487.742852076389</v>
      </c>
      <c r="AS123" s="938">
        <f t="shared" si="15"/>
        <v>618.58988873264025</v>
      </c>
      <c r="AT123" s="938">
        <f t="shared" si="16"/>
        <v>119.52666932128442</v>
      </c>
      <c r="AU123" s="938">
        <f t="shared" si="17"/>
        <v>0</v>
      </c>
      <c r="AV123" s="938">
        <f t="shared" si="18"/>
        <v>0</v>
      </c>
      <c r="AW123" s="938">
        <f t="shared" si="19"/>
        <v>0</v>
      </c>
      <c r="AX123" s="938">
        <f t="shared" si="20"/>
        <v>834.73436728415231</v>
      </c>
      <c r="AY123" s="938">
        <f t="shared" si="21"/>
        <v>67.237402201487669</v>
      </c>
      <c r="AZ123" s="938">
        <f t="shared" si="22"/>
        <v>18.900451423925194</v>
      </c>
      <c r="BA123" s="938">
        <f t="shared" si="23"/>
        <v>48.816184494087906</v>
      </c>
      <c r="BB123" s="938">
        <f t="shared" si="24"/>
        <v>33.260529710112131</v>
      </c>
      <c r="BC123" s="530">
        <f t="shared" si="47"/>
        <v>2228.8083452440787</v>
      </c>
      <c r="BD123" s="724">
        <f t="shared" si="48"/>
        <v>0</v>
      </c>
      <c r="BE123" s="436">
        <f t="shared" si="49"/>
        <v>0.218835707932068</v>
      </c>
      <c r="BF123" s="624">
        <f t="shared" si="50"/>
        <v>0.27754288072934236</v>
      </c>
      <c r="BG123" s="624">
        <f t="shared" si="51"/>
        <v>5.3628060742115964E-2</v>
      </c>
      <c r="BH123" s="624">
        <f t="shared" si="52"/>
        <v>0</v>
      </c>
      <c r="BI123" s="624">
        <f t="shared" si="53"/>
        <v>0</v>
      </c>
      <c r="BJ123" s="624">
        <f t="shared" si="54"/>
        <v>0</v>
      </c>
      <c r="BK123" s="624">
        <f t="shared" si="55"/>
        <v>0.44999335059647372</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68.38821081947502</v>
      </c>
      <c r="BW123" s="114">
        <f t="shared" si="59"/>
        <v>0.76725886195819992</v>
      </c>
      <c r="BX123" s="1695">
        <f t="shared" si="25"/>
        <v>17.10273764872111</v>
      </c>
      <c r="BY123" s="527">
        <f t="shared" si="60"/>
        <v>68.38821081947502</v>
      </c>
      <c r="BZ123" s="417">
        <f t="shared" si="61"/>
        <v>0.76725886195819992</v>
      </c>
      <c r="CA123" s="544">
        <f t="shared" si="26"/>
        <v>17.10273764872111</v>
      </c>
      <c r="CB123" s="649">
        <f t="shared" si="27"/>
        <v>0.36200396083168174</v>
      </c>
      <c r="CC123" s="525">
        <f t="shared" si="62"/>
        <v>0.40202615928386531</v>
      </c>
      <c r="CD123" s="417">
        <f t="shared" si="28"/>
        <v>0.36200396083168174</v>
      </c>
      <c r="CE123" s="525">
        <f t="shared" si="63"/>
        <v>0.40202615928386531</v>
      </c>
      <c r="CG123" s="527">
        <f t="shared" si="64"/>
        <v>1926.8728575809166</v>
      </c>
      <c r="CH123" s="528">
        <f t="shared" si="65"/>
        <v>848.49682133390024</v>
      </c>
      <c r="CI123" s="528">
        <f t="shared" si="66"/>
        <v>3231.4967794068243</v>
      </c>
      <c r="CJ123" s="528">
        <f t="shared" si="67"/>
        <v>4090.6687595657531</v>
      </c>
      <c r="CK123" s="528">
        <f t="shared" si="68"/>
        <v>49.235165287792277</v>
      </c>
      <c r="CL123" s="528">
        <f t="shared" si="69"/>
        <v>10146.770383175186</v>
      </c>
      <c r="CM123" s="646">
        <f t="shared" si="70"/>
        <v>0</v>
      </c>
    </row>
    <row r="124" spans="1:91">
      <c r="A124" s="873">
        <f>'Input data'!A144</f>
        <v>2044</v>
      </c>
      <c r="B124" s="1553">
        <f>'Input data'!B144</f>
        <v>73.165000000000006</v>
      </c>
      <c r="C124" s="1552">
        <f>'Input data'!C144</f>
        <v>5526.5000000000018</v>
      </c>
      <c r="D124" s="1552">
        <f>'Input data'!D144</f>
        <v>15821756.711124728</v>
      </c>
      <c r="E124" s="1456">
        <f t="shared" si="88"/>
        <v>1</v>
      </c>
      <c r="F124" s="1506">
        <f t="shared" si="89"/>
        <v>0.36725000000000002</v>
      </c>
      <c r="G124" s="1513">
        <f>B124*F124*'Input data'!$C$9</f>
        <v>822.4070583410687</v>
      </c>
      <c r="H124" s="1544">
        <f>'Input data'!I144</f>
        <v>424.26313389388866</v>
      </c>
      <c r="I124" s="1511">
        <f>'Input data'!K144</f>
        <v>31041.212191346367</v>
      </c>
      <c r="J124" s="1511">
        <f t="shared" si="91"/>
        <v>2228.8083452440806</v>
      </c>
      <c r="K124" s="1513">
        <f t="shared" si="73"/>
        <v>12196.615611780016</v>
      </c>
      <c r="L124" s="1506">
        <f t="shared" si="90"/>
        <v>0.7</v>
      </c>
      <c r="M124" s="1506">
        <f t="shared" si="87"/>
        <v>0.6</v>
      </c>
      <c r="N124" s="1506">
        <f t="shared" si="87"/>
        <v>0.9</v>
      </c>
      <c r="O124" s="1506">
        <f t="shared" si="87"/>
        <v>0.9</v>
      </c>
      <c r="P124" s="1506">
        <f t="shared" si="87"/>
        <v>0.23600000000000002</v>
      </c>
      <c r="Q124" s="1510">
        <f t="shared" si="31"/>
        <v>332.36983868284256</v>
      </c>
      <c r="R124" s="1511">
        <f t="shared" si="32"/>
        <v>231.93800366416951</v>
      </c>
      <c r="S124" s="1511">
        <f t="shared" si="33"/>
        <v>679.21052694539094</v>
      </c>
      <c r="T124" s="1511">
        <f t="shared" si="34"/>
        <v>457.3378499534374</v>
      </c>
      <c r="U124" s="1513">
        <f t="shared" si="35"/>
        <v>0</v>
      </c>
      <c r="V124" s="1511">
        <f t="shared" si="9"/>
        <v>1700.8562192458403</v>
      </c>
      <c r="W124" s="1456">
        <f t="shared" si="86"/>
        <v>0.5</v>
      </c>
      <c r="X124" s="530">
        <f t="shared" si="36"/>
        <v>3033.4882588631699</v>
      </c>
      <c r="Y124" s="528">
        <f t="shared" si="77"/>
        <v>4734.3444781090102</v>
      </c>
      <c r="Z124" s="528">
        <f t="shared" si="78"/>
        <v>9691.0794789150859</v>
      </c>
      <c r="AA124" s="530">
        <f t="shared" si="79"/>
        <v>7462.2711336710054</v>
      </c>
      <c r="AB124" s="1091">
        <f t="shared" si="37"/>
        <v>0.77001443955822402</v>
      </c>
      <c r="AC124" s="135" t="str">
        <f t="shared" si="38"/>
        <v>Yes</v>
      </c>
      <c r="AD124" s="1091">
        <f t="shared" si="39"/>
        <v>0.77001443955822402</v>
      </c>
      <c r="AE124" s="649">
        <f t="shared" si="10"/>
        <v>0.36396356748329273</v>
      </c>
      <c r="AF124" s="530">
        <f t="shared" si="11"/>
        <v>269.84681013022708</v>
      </c>
      <c r="AG124" s="527">
        <f t="shared" si="40"/>
        <v>2228.8083452440806</v>
      </c>
      <c r="AH124" s="528">
        <f t="shared" si="80"/>
        <v>10209.704528495375</v>
      </c>
      <c r="AI124" s="528">
        <f t="shared" si="81"/>
        <v>6437.663217588939</v>
      </c>
      <c r="AJ124" s="528">
        <f t="shared" si="12"/>
        <v>867.16577184967298</v>
      </c>
      <c r="AK124" s="528">
        <f t="shared" si="41"/>
        <v>19743.341863178066</v>
      </c>
      <c r="AL124" s="716">
        <f t="shared" si="13"/>
        <v>0</v>
      </c>
      <c r="AM124" s="417">
        <f t="shared" si="42"/>
        <v>0.11288911272923233</v>
      </c>
      <c r="AN124" s="417">
        <f t="shared" si="43"/>
        <v>0.51712139713980154</v>
      </c>
      <c r="AO124" s="417">
        <f t="shared" si="44"/>
        <v>0.32606755544234267</v>
      </c>
      <c r="AP124" s="417">
        <f t="shared" si="45"/>
        <v>4.3921934688623487E-2</v>
      </c>
      <c r="AQ124" s="417">
        <f t="shared" si="46"/>
        <v>1</v>
      </c>
      <c r="AR124" s="1086">
        <f t="shared" si="14"/>
        <v>488.70360281797099</v>
      </c>
      <c r="AS124" s="938">
        <f t="shared" si="15"/>
        <v>619.80838059121925</v>
      </c>
      <c r="AT124" s="938">
        <f t="shared" si="16"/>
        <v>119.29461295532771</v>
      </c>
      <c r="AU124" s="938">
        <f t="shared" si="17"/>
        <v>0</v>
      </c>
      <c r="AV124" s="938">
        <f t="shared" si="18"/>
        <v>0</v>
      </c>
      <c r="AW124" s="938">
        <f t="shared" si="19"/>
        <v>0</v>
      </c>
      <c r="AX124" s="938">
        <f t="shared" si="20"/>
        <v>833.113763071628</v>
      </c>
      <c r="AY124" s="938">
        <f t="shared" si="21"/>
        <v>67.106863407929339</v>
      </c>
      <c r="AZ124" s="938">
        <f t="shared" si="22"/>
        <v>18.863756934759905</v>
      </c>
      <c r="BA124" s="938">
        <f t="shared" si="23"/>
        <v>48.721409776128361</v>
      </c>
      <c r="BB124" s="938">
        <f t="shared" si="24"/>
        <v>33.195955689116239</v>
      </c>
      <c r="BC124" s="530">
        <f t="shared" si="47"/>
        <v>2228.8083452440796</v>
      </c>
      <c r="BD124" s="724">
        <f t="shared" si="48"/>
        <v>0</v>
      </c>
      <c r="BE124" s="436">
        <f t="shared" si="49"/>
        <v>0.21926676820857491</v>
      </c>
      <c r="BF124" s="624">
        <f t="shared" si="50"/>
        <v>0.27808958177754095</v>
      </c>
      <c r="BG124" s="624">
        <f t="shared" si="51"/>
        <v>5.3523943954123882E-2</v>
      </c>
      <c r="BH124" s="624">
        <f t="shared" si="52"/>
        <v>0</v>
      </c>
      <c r="BI124" s="624">
        <f t="shared" si="53"/>
        <v>0</v>
      </c>
      <c r="BJ124" s="624">
        <f t="shared" si="54"/>
        <v>0</v>
      </c>
      <c r="BK124" s="624">
        <f t="shared" si="55"/>
        <v>0.44911970605976026</v>
      </c>
      <c r="BL124" s="624">
        <f t="shared" si="56"/>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68.82178476224756</v>
      </c>
      <c r="BW124" s="114">
        <f t="shared" si="59"/>
        <v>0.76872511996378301</v>
      </c>
      <c r="BX124" s="1695">
        <f t="shared" si="25"/>
        <v>15.821756711124728</v>
      </c>
      <c r="BY124" s="527">
        <f t="shared" si="60"/>
        <v>68.82178476224756</v>
      </c>
      <c r="BZ124" s="417">
        <f t="shared" si="61"/>
        <v>0.76872511996378301</v>
      </c>
      <c r="CA124" s="544">
        <f t="shared" si="26"/>
        <v>15.821756711124728</v>
      </c>
      <c r="CB124" s="649">
        <f t="shared" si="27"/>
        <v>0.36396356748329273</v>
      </c>
      <c r="CC124" s="525">
        <f t="shared" si="62"/>
        <v>0.40327840761206057</v>
      </c>
      <c r="CD124" s="417">
        <f t="shared" si="28"/>
        <v>0.36396356748329273</v>
      </c>
      <c r="CE124" s="525">
        <f t="shared" si="63"/>
        <v>0.40327840761206057</v>
      </c>
      <c r="CG124" s="527">
        <f t="shared" si="64"/>
        <v>1938.8240589832467</v>
      </c>
      <c r="CH124" s="528">
        <f t="shared" si="65"/>
        <v>853.75952269019479</v>
      </c>
      <c r="CI124" s="528">
        <f t="shared" si="66"/>
        <v>3251.5397566534689</v>
      </c>
      <c r="CJ124" s="528">
        <f t="shared" si="67"/>
        <v>4116.0406495809384</v>
      </c>
      <c r="CK124" s="528">
        <f t="shared" si="68"/>
        <v>49.540540587525406</v>
      </c>
      <c r="CL124" s="528">
        <f t="shared" si="69"/>
        <v>10209.704528495375</v>
      </c>
      <c r="CM124" s="646">
        <f t="shared" si="70"/>
        <v>0</v>
      </c>
    </row>
    <row r="125" spans="1:91">
      <c r="A125" s="873">
        <f>'Input data'!A145</f>
        <v>2045</v>
      </c>
      <c r="B125" s="1553">
        <f>'Input data'!B145</f>
        <v>73.62</v>
      </c>
      <c r="C125" s="1552">
        <f>'Input data'!C145</f>
        <v>5709.93</v>
      </c>
      <c r="D125" s="1552">
        <f>'Input data'!D145</f>
        <v>14540775.773528345</v>
      </c>
      <c r="E125" s="1456">
        <f t="shared" si="88"/>
        <v>1</v>
      </c>
      <c r="F125" s="1506">
        <f t="shared" si="89"/>
        <v>0.36725000000000002</v>
      </c>
      <c r="G125" s="1513">
        <f>B125*F125*'Input data'!$C$9</f>
        <v>827.52146019366455</v>
      </c>
      <c r="H125" s="1544">
        <f>'Input data'!I145</f>
        <v>424.26313389388866</v>
      </c>
      <c r="I125" s="1511">
        <f>'Input data'!K145</f>
        <v>31234.251917268084</v>
      </c>
      <c r="J125" s="1511">
        <f t="shared" si="91"/>
        <v>2228.8083452440806</v>
      </c>
      <c r="K125" s="1513">
        <f t="shared" si="73"/>
        <v>12286.324733633988</v>
      </c>
      <c r="L125" s="1506">
        <f t="shared" si="90"/>
        <v>0.7</v>
      </c>
      <c r="M125" s="1506">
        <f t="shared" si="87"/>
        <v>0.6</v>
      </c>
      <c r="N125" s="1506">
        <f t="shared" si="87"/>
        <v>0.9</v>
      </c>
      <c r="O125" s="1506">
        <f t="shared" si="87"/>
        <v>0.9</v>
      </c>
      <c r="P125" s="1506">
        <f t="shared" si="87"/>
        <v>0.23600000000000002</v>
      </c>
      <c r="Q125" s="1510">
        <f t="shared" si="31"/>
        <v>334.43678704067338</v>
      </c>
      <c r="R125" s="1511">
        <f t="shared" si="32"/>
        <v>233.38038447011763</v>
      </c>
      <c r="S125" s="1511">
        <f t="shared" si="33"/>
        <v>683.43441527669938</v>
      </c>
      <c r="T125" s="1511">
        <f t="shared" si="34"/>
        <v>460.18195193838665</v>
      </c>
      <c r="U125" s="1513">
        <f t="shared" si="35"/>
        <v>0</v>
      </c>
      <c r="V125" s="1511">
        <f t="shared" si="9"/>
        <v>1711.433538725877</v>
      </c>
      <c r="W125" s="1456">
        <f t="shared" si="86"/>
        <v>0.5</v>
      </c>
      <c r="X125" s="530">
        <f t="shared" si="36"/>
        <v>3033.4882588631699</v>
      </c>
      <c r="Y125" s="528">
        <f t="shared" si="77"/>
        <v>4744.9217975890469</v>
      </c>
      <c r="Z125" s="528">
        <f t="shared" si="78"/>
        <v>9770.2112812890227</v>
      </c>
      <c r="AA125" s="530">
        <f t="shared" si="79"/>
        <v>7541.4029360449422</v>
      </c>
      <c r="AB125" s="1091">
        <f t="shared" si="37"/>
        <v>0.7718771599635228</v>
      </c>
      <c r="AC125" s="135" t="str">
        <f t="shared" si="38"/>
        <v>Yes</v>
      </c>
      <c r="AD125" s="1091">
        <f t="shared" si="39"/>
        <v>0.7718771599635228</v>
      </c>
      <c r="AE125" s="649">
        <f t="shared" si="10"/>
        <v>0.36591534586874086</v>
      </c>
      <c r="AF125" s="530">
        <f t="shared" si="11"/>
        <v>269.01874251575049</v>
      </c>
      <c r="AG125" s="527">
        <f t="shared" si="40"/>
        <v>2228.8083452440806</v>
      </c>
      <c r="AH125" s="528">
        <f t="shared" si="80"/>
        <v>10273.196848053434</v>
      </c>
      <c r="AI125" s="528">
        <f t="shared" si="81"/>
        <v>6437.663217588939</v>
      </c>
      <c r="AJ125" s="528">
        <f t="shared" si="12"/>
        <v>865.49141312309928</v>
      </c>
      <c r="AK125" s="528">
        <f t="shared" si="41"/>
        <v>19805.159824009552</v>
      </c>
      <c r="AL125" s="716">
        <f t="shared" si="13"/>
        <v>0</v>
      </c>
      <c r="AM125" s="417">
        <f t="shared" si="42"/>
        <v>0.11253675128347733</v>
      </c>
      <c r="AN125" s="417">
        <f t="shared" si="43"/>
        <v>0.51871315047906674</v>
      </c>
      <c r="AO125" s="417">
        <f t="shared" si="44"/>
        <v>0.32504979888042301</v>
      </c>
      <c r="AP125" s="417">
        <f t="shared" si="45"/>
        <v>4.3700299357032943E-2</v>
      </c>
      <c r="AQ125" s="417">
        <f t="shared" si="46"/>
        <v>0.99999999999999989</v>
      </c>
      <c r="AR125" s="1086">
        <f t="shared" si="14"/>
        <v>489.65724281255956</v>
      </c>
      <c r="AS125" s="938">
        <f t="shared" si="15"/>
        <v>621.01785409889226</v>
      </c>
      <c r="AT125" s="938">
        <f t="shared" si="16"/>
        <v>119.06427409427125</v>
      </c>
      <c r="AU125" s="938">
        <f t="shared" si="17"/>
        <v>0</v>
      </c>
      <c r="AV125" s="938">
        <f t="shared" si="18"/>
        <v>0</v>
      </c>
      <c r="AW125" s="938">
        <f t="shared" si="19"/>
        <v>0</v>
      </c>
      <c r="AX125" s="938">
        <f t="shared" si="20"/>
        <v>831.50515334012039</v>
      </c>
      <c r="AY125" s="938">
        <f t="shared" si="21"/>
        <v>66.977290763335247</v>
      </c>
      <c r="AZ125" s="938">
        <f t="shared" si="22"/>
        <v>18.82733403032217</v>
      </c>
      <c r="BA125" s="938">
        <f t="shared" si="23"/>
        <v>48.627336508619621</v>
      </c>
      <c r="BB125" s="938">
        <f t="shared" si="24"/>
        <v>33.131859595959249</v>
      </c>
      <c r="BC125" s="530">
        <f t="shared" si="47"/>
        <v>2228.8083452440792</v>
      </c>
      <c r="BD125" s="724">
        <f t="shared" si="48"/>
        <v>0</v>
      </c>
      <c r="BE125" s="436">
        <f t="shared" si="49"/>
        <v>0.21969463810444262</v>
      </c>
      <c r="BF125" s="624">
        <f t="shared" si="50"/>
        <v>0.27863223655997388</v>
      </c>
      <c r="BG125" s="624">
        <f t="shared" si="51"/>
        <v>5.3420597759486765E-2</v>
      </c>
      <c r="BH125" s="624">
        <f t="shared" si="52"/>
        <v>0</v>
      </c>
      <c r="BI125" s="624">
        <f t="shared" si="53"/>
        <v>0</v>
      </c>
      <c r="BJ125" s="624">
        <f t="shared" si="54"/>
        <v>0</v>
      </c>
      <c r="BK125" s="624">
        <f t="shared" si="55"/>
        <v>0.44825252757609696</v>
      </c>
      <c r="BL125" s="624">
        <f t="shared" si="56"/>
        <v>1.0000000000000002</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69.310843311365758</v>
      </c>
      <c r="BW125" s="114">
        <f t="shared" si="59"/>
        <v>0.7703569996506292</v>
      </c>
      <c r="BX125" s="1695">
        <f t="shared" si="25"/>
        <v>14.540775773528345</v>
      </c>
      <c r="BY125" s="527">
        <f t="shared" si="60"/>
        <v>69.310843311365758</v>
      </c>
      <c r="BZ125" s="417">
        <f t="shared" si="61"/>
        <v>0.7703569996506292</v>
      </c>
      <c r="CA125" s="544">
        <f t="shared" si="26"/>
        <v>14.540775773528345</v>
      </c>
      <c r="CB125" s="649">
        <f t="shared" si="27"/>
        <v>0.36591534586874086</v>
      </c>
      <c r="CC125" s="525">
        <f t="shared" si="62"/>
        <v>0.40476896254699657</v>
      </c>
      <c r="CD125" s="417">
        <f t="shared" si="28"/>
        <v>0.36591534586874086</v>
      </c>
      <c r="CE125" s="525">
        <f t="shared" si="63"/>
        <v>0.40476896254699657</v>
      </c>
      <c r="CG125" s="527">
        <f t="shared" si="64"/>
        <v>1950.8812577372598</v>
      </c>
      <c r="CH125" s="528">
        <f t="shared" si="65"/>
        <v>859.06889989000388</v>
      </c>
      <c r="CI125" s="528">
        <f t="shared" si="66"/>
        <v>3271.7604986650499</v>
      </c>
      <c r="CJ125" s="528">
        <f t="shared" si="67"/>
        <v>4141.6375674454812</v>
      </c>
      <c r="CK125" s="528">
        <f t="shared" si="68"/>
        <v>49.848624315637529</v>
      </c>
      <c r="CL125" s="528">
        <f t="shared" si="69"/>
        <v>10273.196848053431</v>
      </c>
      <c r="CM125" s="646">
        <f t="shared" si="70"/>
        <v>0</v>
      </c>
    </row>
    <row r="126" spans="1:91">
      <c r="A126" s="873">
        <f>'Input data'!A146</f>
        <v>2046</v>
      </c>
      <c r="B126" s="1553">
        <f>'Input data'!B146</f>
        <v>73.995000000000005</v>
      </c>
      <c r="C126" s="1552">
        <f>'Input data'!C146</f>
        <v>5902.43</v>
      </c>
      <c r="D126" s="1552">
        <f>'Input data'!D146</f>
        <v>13259794.835931966</v>
      </c>
      <c r="E126" s="1456">
        <f t="shared" si="88"/>
        <v>1</v>
      </c>
      <c r="F126" s="1506">
        <f t="shared" si="89"/>
        <v>0.36725000000000002</v>
      </c>
      <c r="G126" s="1513">
        <f>B126*F126*'Input data'!$C$9</f>
        <v>831.73662655569433</v>
      </c>
      <c r="H126" s="1544">
        <f>'Input data'!I146</f>
        <v>424.26313389388866</v>
      </c>
      <c r="I126" s="1511">
        <f>'Input data'!K146</f>
        <v>31393.350592478295</v>
      </c>
      <c r="J126" s="1511">
        <f t="shared" si="91"/>
        <v>2228.8083452440806</v>
      </c>
      <c r="K126" s="1513">
        <f t="shared" si="73"/>
        <v>12360.260823074077</v>
      </c>
      <c r="L126" s="1506">
        <f t="shared" si="90"/>
        <v>0.7</v>
      </c>
      <c r="M126" s="1506">
        <f t="shared" si="87"/>
        <v>0.6</v>
      </c>
      <c r="N126" s="1506">
        <f t="shared" si="87"/>
        <v>0.9</v>
      </c>
      <c r="O126" s="1506">
        <f t="shared" si="87"/>
        <v>0.9</v>
      </c>
      <c r="P126" s="1506">
        <f t="shared" si="87"/>
        <v>0.23600000000000002</v>
      </c>
      <c r="Q126" s="1510">
        <f t="shared" si="31"/>
        <v>336.14031590701734</v>
      </c>
      <c r="R126" s="1511">
        <f t="shared" si="32"/>
        <v>234.56915985963542</v>
      </c>
      <c r="S126" s="1511">
        <f t="shared" si="33"/>
        <v>686.91564192338137</v>
      </c>
      <c r="T126" s="1511">
        <f t="shared" si="34"/>
        <v>462.52599203587215</v>
      </c>
      <c r="U126" s="1513">
        <f t="shared" si="35"/>
        <v>0</v>
      </c>
      <c r="V126" s="1511">
        <f t="shared" si="9"/>
        <v>1720.1511097259063</v>
      </c>
      <c r="W126" s="1456">
        <f t="shared" si="86"/>
        <v>0.5</v>
      </c>
      <c r="X126" s="530">
        <f t="shared" si="36"/>
        <v>3033.4882588631699</v>
      </c>
      <c r="Y126" s="528">
        <f t="shared" si="77"/>
        <v>4753.6393685890762</v>
      </c>
      <c r="Z126" s="528">
        <f t="shared" si="78"/>
        <v>9835.4297997290814</v>
      </c>
      <c r="AA126" s="530">
        <f t="shared" si="79"/>
        <v>7606.6214544850009</v>
      </c>
      <c r="AB126" s="1091">
        <f t="shared" si="37"/>
        <v>0.7733898374928696</v>
      </c>
      <c r="AC126" s="135" t="str">
        <f t="shared" si="38"/>
        <v>Yes</v>
      </c>
      <c r="AD126" s="1091">
        <f t="shared" si="39"/>
        <v>0.7733898374928696</v>
      </c>
      <c r="AE126" s="649">
        <f t="shared" si="10"/>
        <v>0.36750526556588536</v>
      </c>
      <c r="AF126" s="530">
        <f t="shared" si="11"/>
        <v>268.34419820240032</v>
      </c>
      <c r="AG126" s="527">
        <f t="shared" si="40"/>
        <v>2228.8083452440806</v>
      </c>
      <c r="AH126" s="528">
        <f t="shared" si="80"/>
        <v>10325.525682854031</v>
      </c>
      <c r="AI126" s="528">
        <f t="shared" si="81"/>
        <v>6437.663217588939</v>
      </c>
      <c r="AJ126" s="528">
        <f t="shared" si="12"/>
        <v>864.13170029955938</v>
      </c>
      <c r="AK126" s="528">
        <f t="shared" si="41"/>
        <v>19856.128945986613</v>
      </c>
      <c r="AL126" s="716">
        <f t="shared" si="13"/>
        <v>0</v>
      </c>
      <c r="AM126" s="417">
        <f t="shared" si="42"/>
        <v>0.11224787829022306</v>
      </c>
      <c r="AN126" s="417">
        <f t="shared" si="43"/>
        <v>0.52001705422753419</v>
      </c>
      <c r="AO126" s="417">
        <f t="shared" si="44"/>
        <v>0.32421542160110423</v>
      </c>
      <c r="AP126" s="417">
        <f t="shared" si="45"/>
        <v>4.3519645881138408E-2</v>
      </c>
      <c r="AQ126" s="417">
        <f t="shared" si="46"/>
        <v>1</v>
      </c>
      <c r="AR126" s="1086">
        <f t="shared" si="14"/>
        <v>490.43167454519966</v>
      </c>
      <c r="AS126" s="938">
        <f t="shared" si="15"/>
        <v>622.00004304801894</v>
      </c>
      <c r="AT126" s="938">
        <f t="shared" si="16"/>
        <v>118.87722056854393</v>
      </c>
      <c r="AU126" s="938">
        <f t="shared" si="17"/>
        <v>0</v>
      </c>
      <c r="AV126" s="938">
        <f t="shared" si="18"/>
        <v>0</v>
      </c>
      <c r="AW126" s="938">
        <f t="shared" si="19"/>
        <v>0</v>
      </c>
      <c r="AX126" s="938">
        <f t="shared" si="20"/>
        <v>830.19883394434942</v>
      </c>
      <c r="AY126" s="938">
        <f t="shared" si="21"/>
        <v>66.872067441929588</v>
      </c>
      <c r="AZ126" s="938">
        <f t="shared" si="22"/>
        <v>18.797755727030154</v>
      </c>
      <c r="BA126" s="938">
        <f t="shared" si="23"/>
        <v>48.550941512640705</v>
      </c>
      <c r="BB126" s="938">
        <f t="shared" si="24"/>
        <v>33.079808456367026</v>
      </c>
      <c r="BC126" s="530">
        <f t="shared" si="47"/>
        <v>2228.8083452440792</v>
      </c>
      <c r="BD126" s="724">
        <f t="shared" si="48"/>
        <v>0</v>
      </c>
      <c r="BE126" s="436">
        <f t="shared" si="49"/>
        <v>0.22004210258441578</v>
      </c>
      <c r="BF126" s="624">
        <f t="shared" si="50"/>
        <v>0.2790729155224439</v>
      </c>
      <c r="BG126" s="624">
        <f t="shared" si="51"/>
        <v>5.3336672407122365E-2</v>
      </c>
      <c r="BH126" s="624">
        <f t="shared" si="52"/>
        <v>0</v>
      </c>
      <c r="BI126" s="624">
        <f t="shared" si="53"/>
        <v>0</v>
      </c>
      <c r="BJ126" s="624">
        <f t="shared" si="54"/>
        <v>0</v>
      </c>
      <c r="BK126" s="624">
        <f t="shared" si="55"/>
        <v>0.44754830948601804</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69.835514728969443</v>
      </c>
      <c r="BW126" s="114">
        <f t="shared" si="59"/>
        <v>0.77208229828991981</v>
      </c>
      <c r="BX126" s="1695">
        <f t="shared" si="25"/>
        <v>13.259794835931967</v>
      </c>
      <c r="BY126" s="527">
        <f t="shared" si="60"/>
        <v>69.835514728969443</v>
      </c>
      <c r="BZ126" s="417">
        <f t="shared" si="61"/>
        <v>0.77208229828991981</v>
      </c>
      <c r="CA126" s="544">
        <f t="shared" si="26"/>
        <v>13.259794835931967</v>
      </c>
      <c r="CB126" s="649">
        <f t="shared" si="27"/>
        <v>0.36750526556588536</v>
      </c>
      <c r="CC126" s="525">
        <f t="shared" si="62"/>
        <v>0.40644373321612515</v>
      </c>
      <c r="CD126" s="417">
        <f t="shared" si="28"/>
        <v>0.36750526556588536</v>
      </c>
      <c r="CE126" s="525">
        <f t="shared" si="63"/>
        <v>0.40644373321612515</v>
      </c>
      <c r="CG126" s="527">
        <f t="shared" si="64"/>
        <v>1960.8185094576004</v>
      </c>
      <c r="CH126" s="528">
        <f t="shared" si="65"/>
        <v>863.44476021951698</v>
      </c>
      <c r="CI126" s="528">
        <f t="shared" si="66"/>
        <v>3288.4259453778918</v>
      </c>
      <c r="CJ126" s="528">
        <f t="shared" si="67"/>
        <v>4162.733928322853</v>
      </c>
      <c r="CK126" s="528">
        <f t="shared" si="68"/>
        <v>50.102539476169511</v>
      </c>
      <c r="CL126" s="528">
        <f t="shared" si="69"/>
        <v>10325.525682854031</v>
      </c>
      <c r="CM126" s="646">
        <f t="shared" si="70"/>
        <v>0</v>
      </c>
    </row>
    <row r="127" spans="1:91" s="1" customFormat="1">
      <c r="A127" s="873">
        <f>'Input data'!A147</f>
        <v>2047</v>
      </c>
      <c r="B127" s="1553">
        <f>'Input data'!B147</f>
        <v>74.373000000000005</v>
      </c>
      <c r="C127" s="1552">
        <f>'Input data'!C147</f>
        <v>6104.119999999999</v>
      </c>
      <c r="D127" s="1552">
        <f>'Input data'!D147</f>
        <v>11978813.898335585</v>
      </c>
      <c r="E127" s="1456">
        <f t="shared" si="88"/>
        <v>1</v>
      </c>
      <c r="F127" s="1506">
        <f t="shared" si="89"/>
        <v>0.36725000000000002</v>
      </c>
      <c r="G127" s="1513">
        <f>B127*F127*'Input data'!$C$9</f>
        <v>835.98551424862012</v>
      </c>
      <c r="H127" s="1544">
        <f>'Input data'!I147</f>
        <v>424.26313389388866</v>
      </c>
      <c r="I127" s="1511">
        <f>'Input data'!K147</f>
        <v>31553.722057090185</v>
      </c>
      <c r="J127" s="1511">
        <f t="shared" si="91"/>
        <v>2228.8083452440806</v>
      </c>
      <c r="K127" s="1513">
        <f t="shared" si="73"/>
        <v>12434.788401229685</v>
      </c>
      <c r="L127" s="1506">
        <f t="shared" si="90"/>
        <v>0.7</v>
      </c>
      <c r="M127" s="1506">
        <f t="shared" si="90"/>
        <v>0.6</v>
      </c>
      <c r="N127" s="1506">
        <f t="shared" si="90"/>
        <v>0.9</v>
      </c>
      <c r="O127" s="1506">
        <f t="shared" si="90"/>
        <v>0.9</v>
      </c>
      <c r="P127" s="1506">
        <f t="shared" si="90"/>
        <v>0.23600000000000002</v>
      </c>
      <c r="Q127" s="1510">
        <f t="shared" si="31"/>
        <v>337.85747300429216</v>
      </c>
      <c r="R127" s="1511">
        <f t="shared" si="32"/>
        <v>235.76744545226916</v>
      </c>
      <c r="S127" s="1511">
        <f t="shared" si="33"/>
        <v>690.42471838323763</v>
      </c>
      <c r="T127" s="1511">
        <f t="shared" si="34"/>
        <v>464.88878445413729</v>
      </c>
      <c r="U127" s="1513">
        <f t="shared" si="35"/>
        <v>0</v>
      </c>
      <c r="V127" s="1511">
        <f t="shared" si="9"/>
        <v>1728.9384212939362</v>
      </c>
      <c r="W127" s="1456">
        <f t="shared" si="86"/>
        <v>0.5</v>
      </c>
      <c r="X127" s="530">
        <f t="shared" si="36"/>
        <v>3033.4882588631699</v>
      </c>
      <c r="Y127" s="528">
        <f t="shared" si="77"/>
        <v>4762.4266801571066</v>
      </c>
      <c r="Z127" s="528">
        <f t="shared" si="78"/>
        <v>9901.1700663166594</v>
      </c>
      <c r="AA127" s="530">
        <f t="shared" si="79"/>
        <v>7672.3617210725788</v>
      </c>
      <c r="AB127" s="1091">
        <f t="shared" si="37"/>
        <v>0.77489444880596614</v>
      </c>
      <c r="AC127" s="135" t="str">
        <f t="shared" si="38"/>
        <v>Yes</v>
      </c>
      <c r="AD127" s="1091">
        <f t="shared" si="39"/>
        <v>0.77489444880596614</v>
      </c>
      <c r="AE127" s="649">
        <f t="shared" si="10"/>
        <v>0.36909110395378564</v>
      </c>
      <c r="AF127" s="530">
        <f t="shared" si="11"/>
        <v>267.67138543810051</v>
      </c>
      <c r="AG127" s="527">
        <f t="shared" si="40"/>
        <v>2228.8083452440806</v>
      </c>
      <c r="AH127" s="528">
        <f t="shared" si="80"/>
        <v>10378.273148333035</v>
      </c>
      <c r="AI127" s="528">
        <f t="shared" si="81"/>
        <v>6437.663217588939</v>
      </c>
      <c r="AJ127" s="528">
        <f t="shared" si="12"/>
        <v>862.77923802179725</v>
      </c>
      <c r="AK127" s="528">
        <f t="shared" si="41"/>
        <v>19907.523949187853</v>
      </c>
      <c r="AL127" s="716">
        <f t="shared" si="13"/>
        <v>0</v>
      </c>
      <c r="AM127" s="417">
        <f t="shared" si="42"/>
        <v>0.1119580893602294</v>
      </c>
      <c r="AN127" s="417">
        <f t="shared" si="43"/>
        <v>0.52132415738002547</v>
      </c>
      <c r="AO127" s="417">
        <f t="shared" si="44"/>
        <v>0.32337839874112367</v>
      </c>
      <c r="AP127" s="417">
        <f t="shared" si="45"/>
        <v>4.3339354518621344E-2</v>
      </c>
      <c r="AQ127" s="417">
        <f t="shared" si="46"/>
        <v>1</v>
      </c>
      <c r="AR127" s="1086">
        <f t="shared" si="14"/>
        <v>491.20197669059826</v>
      </c>
      <c r="AS127" s="938">
        <f t="shared" si="15"/>
        <v>622.97699456331839</v>
      </c>
      <c r="AT127" s="938">
        <f t="shared" si="16"/>
        <v>118.69116448884168</v>
      </c>
      <c r="AU127" s="938">
        <f t="shared" si="17"/>
        <v>0</v>
      </c>
      <c r="AV127" s="938">
        <f t="shared" si="18"/>
        <v>0</v>
      </c>
      <c r="AW127" s="938">
        <f t="shared" si="19"/>
        <v>0</v>
      </c>
      <c r="AX127" s="938">
        <f t="shared" si="20"/>
        <v>828.89948037872659</v>
      </c>
      <c r="AY127" s="938">
        <f t="shared" si="21"/>
        <v>66.767405214378172</v>
      </c>
      <c r="AZ127" s="938">
        <f t="shared" si="22"/>
        <v>18.768335147367765</v>
      </c>
      <c r="BA127" s="938">
        <f t="shared" si="23"/>
        <v>48.474953886075419</v>
      </c>
      <c r="BB127" s="938">
        <f t="shared" si="24"/>
        <v>33.028034874773702</v>
      </c>
      <c r="BC127" s="530">
        <f t="shared" si="47"/>
        <v>2228.8083452440801</v>
      </c>
      <c r="BD127" s="724">
        <f t="shared" si="48"/>
        <v>0</v>
      </c>
      <c r="BE127" s="436">
        <f t="shared" si="49"/>
        <v>0.22038771424144413</v>
      </c>
      <c r="BF127" s="624">
        <f t="shared" si="50"/>
        <v>0.27951124460416327</v>
      </c>
      <c r="BG127" s="624">
        <f t="shared" si="51"/>
        <v>5.3253194579116508E-2</v>
      </c>
      <c r="BH127" s="624">
        <f t="shared" si="52"/>
        <v>0</v>
      </c>
      <c r="BI127" s="624">
        <f t="shared" si="53"/>
        <v>0</v>
      </c>
      <c r="BJ127" s="624">
        <f t="shared" si="54"/>
        <v>0</v>
      </c>
      <c r="BK127" s="624">
        <f t="shared" si="55"/>
        <v>0.4468478465752761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70.407688443503332</v>
      </c>
      <c r="BW127" s="114">
        <f t="shared" si="59"/>
        <v>0.77393448973205392</v>
      </c>
      <c r="BX127" s="1695">
        <f t="shared" si="25"/>
        <v>11.978813898335586</v>
      </c>
      <c r="BY127" s="527">
        <f t="shared" si="60"/>
        <v>70.407688443503332</v>
      </c>
      <c r="BZ127" s="417">
        <f t="shared" si="61"/>
        <v>0.77393448973205392</v>
      </c>
      <c r="CA127" s="544">
        <f t="shared" si="26"/>
        <v>11.978813898335586</v>
      </c>
      <c r="CB127" s="649">
        <f t="shared" si="27"/>
        <v>0.36909110395378564</v>
      </c>
      <c r="CC127" s="525">
        <f t="shared" si="62"/>
        <v>0.40829241148702333</v>
      </c>
      <c r="CD127" s="417">
        <f t="shared" si="28"/>
        <v>0.36909110395378564</v>
      </c>
      <c r="CE127" s="525">
        <f t="shared" si="63"/>
        <v>0.40829241148702333</v>
      </c>
      <c r="CG127" s="527">
        <f t="shared" si="64"/>
        <v>1970.8352591917037</v>
      </c>
      <c r="CH127" s="528">
        <f t="shared" si="65"/>
        <v>867.85562743166622</v>
      </c>
      <c r="CI127" s="528">
        <f t="shared" si="66"/>
        <v>3305.2247156644357</v>
      </c>
      <c r="CJ127" s="528">
        <f t="shared" si="67"/>
        <v>4183.9990600872434</v>
      </c>
      <c r="CK127" s="528">
        <f t="shared" si="68"/>
        <v>50.358485957985742</v>
      </c>
      <c r="CL127" s="528">
        <f t="shared" si="69"/>
        <v>10378.273148333035</v>
      </c>
      <c r="CM127" s="646">
        <f t="shared" si="70"/>
        <v>0</v>
      </c>
    </row>
    <row r="128" spans="1:91">
      <c r="A128" s="127">
        <f>'Input data'!A148</f>
        <v>2048</v>
      </c>
      <c r="B128" s="662">
        <f>'Input data'!B148</f>
        <v>74.753</v>
      </c>
      <c r="C128" s="236">
        <f>'Input data'!C148</f>
        <v>6308.13</v>
      </c>
      <c r="D128" s="236">
        <f>'Input data'!D148</f>
        <v>10697832.960739207</v>
      </c>
      <c r="E128" s="649">
        <f t="shared" si="88"/>
        <v>1</v>
      </c>
      <c r="F128" s="417">
        <f t="shared" si="89"/>
        <v>0.36725000000000002</v>
      </c>
      <c r="G128" s="530">
        <f>B128*F128*'Input data'!$C$9</f>
        <v>840.25688282881026</v>
      </c>
      <c r="H128" s="529">
        <f>'Input data'!I148</f>
        <v>424.26313389388866</v>
      </c>
      <c r="I128" s="528">
        <f>'Input data'!K148</f>
        <v>31714.94204796986</v>
      </c>
      <c r="J128" s="528">
        <f t="shared" si="91"/>
        <v>2228.8083452440806</v>
      </c>
      <c r="K128" s="530">
        <f t="shared" si="73"/>
        <v>12509.710305195642</v>
      </c>
      <c r="L128" s="417">
        <f t="shared" ref="L128:P130" si="93">L127</f>
        <v>0.7</v>
      </c>
      <c r="M128" s="417">
        <f t="shared" si="93"/>
        <v>0.6</v>
      </c>
      <c r="N128" s="417">
        <f t="shared" si="93"/>
        <v>0.9</v>
      </c>
      <c r="O128" s="417">
        <f t="shared" si="93"/>
        <v>0.9</v>
      </c>
      <c r="P128" s="417">
        <f t="shared" si="93"/>
        <v>0.23600000000000002</v>
      </c>
      <c r="Q128" s="527">
        <f t="shared" si="31"/>
        <v>339.58371558885415</v>
      </c>
      <c r="R128" s="528">
        <f t="shared" si="32"/>
        <v>236.97207118031383</v>
      </c>
      <c r="S128" s="528">
        <f t="shared" si="33"/>
        <v>693.95236138520886</v>
      </c>
      <c r="T128" s="528">
        <f t="shared" si="34"/>
        <v>467.26407841958962</v>
      </c>
      <c r="U128" s="530">
        <f t="shared" si="35"/>
        <v>0</v>
      </c>
      <c r="V128" s="528">
        <f t="shared" si="9"/>
        <v>1737.7722265739665</v>
      </c>
      <c r="W128" s="649">
        <f t="shared" si="86"/>
        <v>0.5</v>
      </c>
      <c r="X128" s="530">
        <f t="shared" si="36"/>
        <v>3033.4882588631699</v>
      </c>
      <c r="Y128" s="528">
        <f t="shared" si="77"/>
        <v>4771.2604854371366</v>
      </c>
      <c r="Z128" s="528">
        <f t="shared" si="78"/>
        <v>9967.2581650025859</v>
      </c>
      <c r="AA128" s="530">
        <f t="shared" si="79"/>
        <v>7738.4498197585053</v>
      </c>
      <c r="AB128" s="1091">
        <f t="shared" si="37"/>
        <v>0.77638701553151734</v>
      </c>
      <c r="AC128" s="135" t="str">
        <f t="shared" si="38"/>
        <v>Yes</v>
      </c>
      <c r="AD128" s="1091">
        <f t="shared" si="39"/>
        <v>0.77638701553151734</v>
      </c>
      <c r="AE128" s="649">
        <f t="shared" si="10"/>
        <v>0.37066860043647532</v>
      </c>
      <c r="AF128" s="530">
        <f t="shared" si="11"/>
        <v>267.00211183664806</v>
      </c>
      <c r="AG128" s="527">
        <f t="shared" si="40"/>
        <v>2228.8083452440806</v>
      </c>
      <c r="AH128" s="528">
        <f t="shared" si="80"/>
        <v>10431.299700930973</v>
      </c>
      <c r="AI128" s="528">
        <f t="shared" si="81"/>
        <v>6437.663217588939</v>
      </c>
      <c r="AJ128" s="528">
        <f t="shared" si="12"/>
        <v>861.43760236095864</v>
      </c>
      <c r="AK128" s="528">
        <f t="shared" si="41"/>
        <v>19959.208866124951</v>
      </c>
      <c r="AL128" s="716">
        <f t="shared" si="13"/>
        <v>0</v>
      </c>
      <c r="AM128" s="417">
        <f t="shared" si="42"/>
        <v>0.11166817082749433</v>
      </c>
      <c r="AN128" s="417">
        <f t="shared" si="43"/>
        <v>0.52263092043869142</v>
      </c>
      <c r="AO128" s="417">
        <f t="shared" si="44"/>
        <v>0.32254100153814369</v>
      </c>
      <c r="AP128" s="417">
        <f t="shared" si="45"/>
        <v>4.3159907195670595E-2</v>
      </c>
      <c r="AQ128" s="417">
        <f t="shared" si="46"/>
        <v>1</v>
      </c>
      <c r="AR128" s="1086">
        <f t="shared" si="14"/>
        <v>491.96611247824927</v>
      </c>
      <c r="AS128" s="938">
        <f t="shared" si="15"/>
        <v>623.94612546876897</v>
      </c>
      <c r="AT128" s="938">
        <f t="shared" si="16"/>
        <v>118.5065978095718</v>
      </c>
      <c r="AU128" s="938">
        <f t="shared" si="17"/>
        <v>0</v>
      </c>
      <c r="AV128" s="938">
        <f t="shared" si="18"/>
        <v>0</v>
      </c>
      <c r="AW128" s="938">
        <f t="shared" si="19"/>
        <v>0</v>
      </c>
      <c r="AX128" s="938">
        <f t="shared" si="20"/>
        <v>827.61052828864558</v>
      </c>
      <c r="AY128" s="938">
        <f t="shared" si="21"/>
        <v>66.663580820060716</v>
      </c>
      <c r="AZ128" s="938">
        <f t="shared" si="22"/>
        <v>18.739150082847701</v>
      </c>
      <c r="BA128" s="938">
        <f t="shared" si="23"/>
        <v>48.399574549247333</v>
      </c>
      <c r="BB128" s="938">
        <f t="shared" si="24"/>
        <v>32.976675746687803</v>
      </c>
      <c r="BC128" s="530">
        <f t="shared" si="47"/>
        <v>2228.8083452440792</v>
      </c>
      <c r="BD128" s="724">
        <f t="shared" si="48"/>
        <v>0</v>
      </c>
      <c r="BE128" s="436">
        <f t="shared" si="49"/>
        <v>0.22073055923719342</v>
      </c>
      <c r="BF128" s="624">
        <f t="shared" si="50"/>
        <v>0.27994606481089784</v>
      </c>
      <c r="BG128" s="624">
        <f t="shared" si="51"/>
        <v>5.3170385000776733E-2</v>
      </c>
      <c r="BH128" s="624">
        <f t="shared" si="52"/>
        <v>0</v>
      </c>
      <c r="BI128" s="624">
        <f t="shared" si="53"/>
        <v>0</v>
      </c>
      <c r="BJ128" s="624">
        <f t="shared" si="54"/>
        <v>0</v>
      </c>
      <c r="BK128" s="624">
        <f t="shared" si="55"/>
        <v>0.44615299095113192</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70.992036433518251</v>
      </c>
      <c r="BW128" s="114">
        <f t="shared" si="59"/>
        <v>0.7757952748732222</v>
      </c>
      <c r="BX128" s="1695">
        <f t="shared" si="25"/>
        <v>10.697832960739207</v>
      </c>
      <c r="BY128" s="527">
        <f t="shared" si="60"/>
        <v>70.992036433518251</v>
      </c>
      <c r="BZ128" s="417">
        <f t="shared" si="61"/>
        <v>0.7757952748732222</v>
      </c>
      <c r="CA128" s="544">
        <f t="shared" si="26"/>
        <v>10.697832960739207</v>
      </c>
      <c r="CB128" s="649">
        <f t="shared" si="27"/>
        <v>0.37066860043647532</v>
      </c>
      <c r="CC128" s="525">
        <f t="shared" si="62"/>
        <v>0.41014498466469618</v>
      </c>
      <c r="CD128" s="417">
        <f t="shared" si="28"/>
        <v>0.37066860043647532</v>
      </c>
      <c r="CE128" s="525">
        <f t="shared" si="63"/>
        <v>0.41014498466469618</v>
      </c>
      <c r="CG128" s="527">
        <f t="shared" si="64"/>
        <v>1980.9050076016488</v>
      </c>
      <c r="CH128" s="528">
        <f t="shared" si="65"/>
        <v>872.28983256557274</v>
      </c>
      <c r="CI128" s="528">
        <f t="shared" si="66"/>
        <v>3322.1123683334486</v>
      </c>
      <c r="CJ128" s="528">
        <f t="shared" si="67"/>
        <v>4205.3767057763116</v>
      </c>
      <c r="CK128" s="528">
        <f t="shared" si="68"/>
        <v>50.615786653991478</v>
      </c>
      <c r="CL128" s="528">
        <f t="shared" si="69"/>
        <v>10431.299700930973</v>
      </c>
      <c r="CM128" s="646">
        <f t="shared" si="70"/>
        <v>0</v>
      </c>
    </row>
    <row r="129" spans="1:91">
      <c r="A129" s="127">
        <f>'Input data'!A149</f>
        <v>2049</v>
      </c>
      <c r="B129" s="662">
        <f>'Input data'!B149</f>
        <v>75.134</v>
      </c>
      <c r="C129" s="236">
        <f>'Input data'!C149</f>
        <v>6522.2000000000007</v>
      </c>
      <c r="D129" s="236">
        <f>'Input data'!D149</f>
        <v>9416852.0231428221</v>
      </c>
      <c r="E129" s="649">
        <f t="shared" si="88"/>
        <v>1</v>
      </c>
      <c r="F129" s="417">
        <f t="shared" si="89"/>
        <v>0.36725000000000002</v>
      </c>
      <c r="G129" s="530">
        <f>B129*F129*'Input data'!$C$9</f>
        <v>844.5394918526323</v>
      </c>
      <c r="H129" s="529">
        <f>'Input data'!I149</f>
        <v>424.26313389388866</v>
      </c>
      <c r="I129" s="528">
        <f>'Input data'!K149</f>
        <v>31876.586301983432</v>
      </c>
      <c r="J129" s="528">
        <f t="shared" si="91"/>
        <v>2228.8083452440806</v>
      </c>
      <c r="K129" s="530">
        <f t="shared" si="73"/>
        <v>12584.829372066772</v>
      </c>
      <c r="L129" s="417">
        <f t="shared" si="93"/>
        <v>0.7</v>
      </c>
      <c r="M129" s="417">
        <f t="shared" si="93"/>
        <v>0.6</v>
      </c>
      <c r="N129" s="417">
        <f t="shared" si="93"/>
        <v>0.9</v>
      </c>
      <c r="O129" s="417">
        <f t="shared" si="93"/>
        <v>0.9</v>
      </c>
      <c r="P129" s="417">
        <f t="shared" si="93"/>
        <v>0.23600000000000002</v>
      </c>
      <c r="Q129" s="527">
        <f t="shared" si="31"/>
        <v>341.31450091705983</v>
      </c>
      <c r="R129" s="528">
        <f t="shared" si="32"/>
        <v>238.17986697606386</v>
      </c>
      <c r="S129" s="528">
        <f t="shared" si="33"/>
        <v>697.48928765823848</v>
      </c>
      <c r="T129" s="528">
        <f t="shared" si="34"/>
        <v>469.64562315863486</v>
      </c>
      <c r="U129" s="530">
        <f t="shared" si="35"/>
        <v>0</v>
      </c>
      <c r="V129" s="528">
        <f t="shared" si="9"/>
        <v>1746.6292787099969</v>
      </c>
      <c r="W129" s="649">
        <f t="shared" si="86"/>
        <v>0.5</v>
      </c>
      <c r="X129" s="530">
        <f t="shared" si="36"/>
        <v>3033.4882588631699</v>
      </c>
      <c r="Y129" s="528">
        <f t="shared" si="77"/>
        <v>4780.1175375731673</v>
      </c>
      <c r="Z129" s="528">
        <f t="shared" si="78"/>
        <v>10033.520179737685</v>
      </c>
      <c r="AA129" s="530">
        <f t="shared" si="79"/>
        <v>7804.7118344936043</v>
      </c>
      <c r="AB129" s="1091">
        <f t="shared" si="37"/>
        <v>0.77786377011080565</v>
      </c>
      <c r="AC129" s="135" t="str">
        <f t="shared" si="38"/>
        <v>Yes</v>
      </c>
      <c r="AD129" s="1091">
        <f t="shared" si="39"/>
        <v>0.77786377011080565</v>
      </c>
      <c r="AE129" s="649">
        <f t="shared" si="10"/>
        <v>0.37223367175394073</v>
      </c>
      <c r="AF129" s="530">
        <f t="shared" si="11"/>
        <v>266.33810977473274</v>
      </c>
      <c r="AG129" s="527">
        <f t="shared" si="40"/>
        <v>2228.8083452440806</v>
      </c>
      <c r="AH129" s="528">
        <f t="shared" si="80"/>
        <v>10484.465797088382</v>
      </c>
      <c r="AI129" s="528">
        <f t="shared" si="81"/>
        <v>6437.663217588939</v>
      </c>
      <c r="AJ129" s="528">
        <f t="shared" si="12"/>
        <v>860.11017989336506</v>
      </c>
      <c r="AK129" s="528">
        <f t="shared" si="41"/>
        <v>20011.047539814768</v>
      </c>
      <c r="AL129" s="716">
        <f t="shared" si="13"/>
        <v>0</v>
      </c>
      <c r="AM129" s="417">
        <f t="shared" si="42"/>
        <v>0.11137889412383613</v>
      </c>
      <c r="AN129" s="417">
        <f t="shared" si="43"/>
        <v>0.52393388083397807</v>
      </c>
      <c r="AO129" s="417">
        <f t="shared" si="44"/>
        <v>0.32170545818654972</v>
      </c>
      <c r="AP129" s="417">
        <f t="shared" si="45"/>
        <v>4.2981766855635914E-2</v>
      </c>
      <c r="AQ129" s="417">
        <f t="shared" si="46"/>
        <v>0.99999999999999989</v>
      </c>
      <c r="AR129" s="1086">
        <f t="shared" si="14"/>
        <v>492.72215306544388</v>
      </c>
      <c r="AS129" s="938">
        <f t="shared" si="15"/>
        <v>624.90498946999207</v>
      </c>
      <c r="AT129" s="938">
        <f t="shared" si="16"/>
        <v>118.32398641664051</v>
      </c>
      <c r="AU129" s="938">
        <f t="shared" si="17"/>
        <v>0</v>
      </c>
      <c r="AV129" s="938">
        <f t="shared" si="18"/>
        <v>0</v>
      </c>
      <c r="AW129" s="938">
        <f t="shared" si="19"/>
        <v>0</v>
      </c>
      <c r="AX129" s="938">
        <f t="shared" si="20"/>
        <v>826.33523126578928</v>
      </c>
      <c r="AY129" s="938">
        <f t="shared" si="21"/>
        <v>66.560856334029168</v>
      </c>
      <c r="AZ129" s="938">
        <f t="shared" si="22"/>
        <v>18.710274202835688</v>
      </c>
      <c r="BA129" s="938">
        <f t="shared" si="23"/>
        <v>48.324993775779227</v>
      </c>
      <c r="BB129" s="938">
        <f t="shared" si="24"/>
        <v>32.925860713570216</v>
      </c>
      <c r="BC129" s="530">
        <f t="shared" si="47"/>
        <v>2228.8083452440801</v>
      </c>
      <c r="BD129" s="724">
        <f t="shared" si="48"/>
        <v>0</v>
      </c>
      <c r="BE129" s="436">
        <f t="shared" si="49"/>
        <v>0.22106977215732077</v>
      </c>
      <c r="BF129" s="624">
        <f t="shared" si="50"/>
        <v>0.28037627856313407</v>
      </c>
      <c r="BG129" s="624">
        <f t="shared" si="51"/>
        <v>5.3088452701249497E-2</v>
      </c>
      <c r="BH129" s="624">
        <f t="shared" si="52"/>
        <v>0</v>
      </c>
      <c r="BI129" s="624">
        <f t="shared" si="53"/>
        <v>0</v>
      </c>
      <c r="BJ129" s="624">
        <f t="shared" si="54"/>
        <v>0</v>
      </c>
      <c r="BK129" s="624">
        <f t="shared" si="55"/>
        <v>0.44546549657829565</v>
      </c>
      <c r="BL129" s="624">
        <f t="shared" si="56"/>
        <v>1</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71.628071231646388</v>
      </c>
      <c r="BW129" s="114">
        <f t="shared" si="59"/>
        <v>0.77778614248466738</v>
      </c>
      <c r="BX129" s="1695">
        <f t="shared" si="25"/>
        <v>9.4168520231428214</v>
      </c>
      <c r="BY129" s="527">
        <f t="shared" si="60"/>
        <v>71.628071231646388</v>
      </c>
      <c r="BZ129" s="417">
        <f t="shared" si="61"/>
        <v>0.77778614248466738</v>
      </c>
      <c r="CA129" s="544">
        <f t="shared" si="26"/>
        <v>9.4168520231428214</v>
      </c>
      <c r="CB129" s="649">
        <f t="shared" si="27"/>
        <v>0.37223367175394073</v>
      </c>
      <c r="CC129" s="525">
        <f t="shared" si="62"/>
        <v>0.41217095711394036</v>
      </c>
      <c r="CD129" s="417">
        <f t="shared" si="28"/>
        <v>0.37223367175394073</v>
      </c>
      <c r="CE129" s="525">
        <f t="shared" si="63"/>
        <v>0.41217095711394036</v>
      </c>
      <c r="CG129" s="527">
        <f t="shared" si="64"/>
        <v>1991.0012553495148</v>
      </c>
      <c r="CH129" s="528">
        <f t="shared" si="65"/>
        <v>876.73570666035789</v>
      </c>
      <c r="CI129" s="528">
        <f t="shared" si="66"/>
        <v>3339.0444621936954</v>
      </c>
      <c r="CJ129" s="528">
        <f t="shared" si="67"/>
        <v>4226.8106084277215</v>
      </c>
      <c r="CK129" s="528">
        <f t="shared" si="68"/>
        <v>50.873764457091966</v>
      </c>
      <c r="CL129" s="528">
        <f t="shared" si="69"/>
        <v>10484.46579708838</v>
      </c>
      <c r="CM129" s="646">
        <f t="shared" si="70"/>
        <v>0</v>
      </c>
    </row>
    <row r="130" spans="1:91" ht="15" thickBot="1">
      <c r="A130" s="172">
        <f>'Input data'!A150</f>
        <v>2050</v>
      </c>
      <c r="B130" s="664">
        <f>'Input data'!B150</f>
        <v>75.518000000000001</v>
      </c>
      <c r="C130" s="239">
        <f>'Input data'!C150</f>
        <v>6747.1300000000019</v>
      </c>
      <c r="D130" s="239">
        <f>'Input data'!D150</f>
        <v>8135871.0855464395</v>
      </c>
      <c r="E130" s="650">
        <f t="shared" si="88"/>
        <v>1</v>
      </c>
      <c r="F130" s="651">
        <f t="shared" si="89"/>
        <v>0.36725000000000002</v>
      </c>
      <c r="G130" s="659">
        <f>B130*F130*'Input data'!$C$9</f>
        <v>848.8558222073508</v>
      </c>
      <c r="H130" s="654">
        <f>'Input data'!I150</f>
        <v>424.26313389388866</v>
      </c>
      <c r="I130" s="667">
        <f>'Input data'!K150</f>
        <v>32039.503345398683</v>
      </c>
      <c r="J130" s="667">
        <f t="shared" si="91"/>
        <v>2228.8083452440806</v>
      </c>
      <c r="K130" s="659">
        <f t="shared" si="73"/>
        <v>12660.539927653419</v>
      </c>
      <c r="L130" s="651">
        <f t="shared" si="93"/>
        <v>0.7</v>
      </c>
      <c r="M130" s="651">
        <f t="shared" si="93"/>
        <v>0.6</v>
      </c>
      <c r="N130" s="651">
        <f t="shared" si="93"/>
        <v>0.9</v>
      </c>
      <c r="O130" s="651">
        <f t="shared" si="93"/>
        <v>0.9</v>
      </c>
      <c r="P130" s="651">
        <f t="shared" si="93"/>
        <v>0.23600000000000002</v>
      </c>
      <c r="Q130" s="670">
        <f t="shared" si="31"/>
        <v>343.05891447619615</v>
      </c>
      <c r="R130" s="667">
        <f t="shared" si="32"/>
        <v>239.39717297492996</v>
      </c>
      <c r="S130" s="667">
        <f t="shared" si="33"/>
        <v>701.05406374444146</v>
      </c>
      <c r="T130" s="667">
        <f t="shared" si="34"/>
        <v>472.04592021846065</v>
      </c>
      <c r="U130" s="659">
        <f t="shared" si="35"/>
        <v>0</v>
      </c>
      <c r="V130" s="667">
        <f t="shared" si="9"/>
        <v>1755.5560714140283</v>
      </c>
      <c r="W130" s="650">
        <f t="shared" si="86"/>
        <v>0.5</v>
      </c>
      <c r="X130" s="659">
        <f t="shared" si="36"/>
        <v>3033.4882588631699</v>
      </c>
      <c r="Y130" s="667">
        <f t="shared" si="77"/>
        <v>4789.0443302771982</v>
      </c>
      <c r="Z130" s="667">
        <f t="shared" si="78"/>
        <v>10100.303942620301</v>
      </c>
      <c r="AA130" s="659">
        <f t="shared" si="79"/>
        <v>7871.4955973762208</v>
      </c>
      <c r="AB130" s="1094">
        <f t="shared" si="37"/>
        <v>0.77933254702968224</v>
      </c>
      <c r="AC130" s="1105" t="str">
        <f t="shared" si="38"/>
        <v>Yes</v>
      </c>
      <c r="AD130" s="1094">
        <f t="shared" si="39"/>
        <v>0.77933254702968224</v>
      </c>
      <c r="AE130" s="650">
        <f t="shared" si="10"/>
        <v>0.37379453736104118</v>
      </c>
      <c r="AF130" s="659">
        <f t="shared" si="11"/>
        <v>265.67589204067707</v>
      </c>
      <c r="AG130" s="670">
        <f t="shared" si="40"/>
        <v>2228.8083452440806</v>
      </c>
      <c r="AH130" s="667">
        <f t="shared" si="80"/>
        <v>10538.050523924194</v>
      </c>
      <c r="AI130" s="667">
        <f t="shared" si="81"/>
        <v>6437.663217588939</v>
      </c>
      <c r="AJ130" s="667">
        <f t="shared" si="12"/>
        <v>858.78992837063765</v>
      </c>
      <c r="AK130" s="667">
        <f t="shared" si="41"/>
        <v>20063.312015127853</v>
      </c>
      <c r="AL130" s="717">
        <f t="shared" si="13"/>
        <v>0</v>
      </c>
      <c r="AM130" s="651">
        <f t="shared" si="42"/>
        <v>0.11108875461656312</v>
      </c>
      <c r="AN130" s="651">
        <f t="shared" si="43"/>
        <v>0.52523982660382507</v>
      </c>
      <c r="AO130" s="651">
        <f t="shared" si="44"/>
        <v>0.3208674227233721</v>
      </c>
      <c r="AP130" s="651">
        <f t="shared" si="45"/>
        <v>4.2803996056239621E-2</v>
      </c>
      <c r="AQ130" s="651">
        <f t="shared" si="46"/>
        <v>0.99999999999999989</v>
      </c>
      <c r="AR130" s="1476">
        <f t="shared" si="14"/>
        <v>493.47410940252166</v>
      </c>
      <c r="AS130" s="1477">
        <f t="shared" si="15"/>
        <v>625.85867353712842</v>
      </c>
      <c r="AT130" s="1477">
        <f t="shared" si="16"/>
        <v>118.14236151916387</v>
      </c>
      <c r="AU130" s="1477">
        <f t="shared" si="17"/>
        <v>0</v>
      </c>
      <c r="AV130" s="1477">
        <f t="shared" si="18"/>
        <v>0</v>
      </c>
      <c r="AW130" s="1477">
        <f t="shared" si="19"/>
        <v>0</v>
      </c>
      <c r="AX130" s="1477">
        <f t="shared" si="20"/>
        <v>825.06682359795161</v>
      </c>
      <c r="AY130" s="1477">
        <f t="shared" si="21"/>
        <v>66.458686781821399</v>
      </c>
      <c r="AZ130" s="1477">
        <f t="shared" si="22"/>
        <v>18.681554314867327</v>
      </c>
      <c r="BA130" s="1477">
        <f t="shared" si="23"/>
        <v>48.250815899374743</v>
      </c>
      <c r="BB130" s="1477">
        <f t="shared" si="24"/>
        <v>32.87532019125063</v>
      </c>
      <c r="BC130" s="659">
        <f t="shared" si="47"/>
        <v>2228.8083452440796</v>
      </c>
      <c r="BD130" s="725">
        <f t="shared" si="48"/>
        <v>0</v>
      </c>
      <c r="BE130" s="683">
        <f t="shared" si="49"/>
        <v>0.22140715259592259</v>
      </c>
      <c r="BF130" s="683">
        <f>AS130/BC130</f>
        <v>0.28080416823304288</v>
      </c>
      <c r="BG130" s="683">
        <f t="shared" si="51"/>
        <v>5.3006963012885683E-2</v>
      </c>
      <c r="BH130" s="683">
        <f t="shared" si="52"/>
        <v>0</v>
      </c>
      <c r="BI130" s="683">
        <f t="shared" si="53"/>
        <v>0</v>
      </c>
      <c r="BJ130" s="683">
        <f t="shared" si="54"/>
        <v>0</v>
      </c>
      <c r="BK130" s="683">
        <f t="shared" si="55"/>
        <v>0.44478171615814882</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72.320162938532434</v>
      </c>
      <c r="BW130" s="651">
        <f t="shared" si="59"/>
        <v>0.77991269145375974</v>
      </c>
      <c r="BX130" s="1696">
        <f t="shared" si="25"/>
        <v>8.1358710855464391</v>
      </c>
      <c r="BY130" s="670">
        <f t="shared" si="60"/>
        <v>72.320162938532434</v>
      </c>
      <c r="BZ130" s="651">
        <f t="shared" si="61"/>
        <v>0.77991269145375974</v>
      </c>
      <c r="CA130" s="675">
        <f t="shared" si="26"/>
        <v>8.1358710855464391</v>
      </c>
      <c r="CB130" s="650">
        <f t="shared" si="27"/>
        <v>0.37379453736104118</v>
      </c>
      <c r="CC130" s="652">
        <f t="shared" si="62"/>
        <v>0.41437174149669154</v>
      </c>
      <c r="CD130" s="651">
        <f t="shared" si="28"/>
        <v>0.37379453736104118</v>
      </c>
      <c r="CE130" s="652">
        <f t="shared" si="63"/>
        <v>0.41437174149669154</v>
      </c>
      <c r="CG130" s="670">
        <f t="shared" si="64"/>
        <v>2001.1770011111435</v>
      </c>
      <c r="CH130" s="667">
        <f t="shared" si="65"/>
        <v>881.2165876377793</v>
      </c>
      <c r="CI130" s="667">
        <f t="shared" si="66"/>
        <v>3356.1098796276447</v>
      </c>
      <c r="CJ130" s="667">
        <f t="shared" si="67"/>
        <v>4248.4132819661481</v>
      </c>
      <c r="CK130" s="667">
        <f t="shared" si="68"/>
        <v>51.133773581476703</v>
      </c>
      <c r="CL130" s="667">
        <f t="shared" si="69"/>
        <v>10538.050523924192</v>
      </c>
      <c r="CM130" s="653">
        <f t="shared" si="70"/>
        <v>0</v>
      </c>
    </row>
    <row r="131" spans="1:91">
      <c r="AM131" s="528"/>
      <c r="AN131" s="623"/>
      <c r="AO131" s="623"/>
      <c r="AP131" s="623"/>
      <c r="AS131" s="114"/>
    </row>
    <row r="132" spans="1:91" ht="23.4">
      <c r="A132" s="686" t="s">
        <v>654</v>
      </c>
      <c r="AM132" s="528"/>
      <c r="AO132" s="623"/>
      <c r="AS132" s="114"/>
    </row>
    <row r="133" spans="1:91" ht="15" thickBot="1">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51.6" customHeight="1">
      <c r="A135" s="186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56.521999999999998</v>
      </c>
      <c r="C137" s="738">
        <f>'Input data'!C117</f>
        <v>3120.54</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v>
      </c>
      <c r="C138" s="236">
        <f>'Input data'!C118</f>
        <v>3152.24</v>
      </c>
      <c r="D138" s="237">
        <f>'Input data'!D118</f>
        <v>50172070.130067617</v>
      </c>
      <c r="E138" s="1510">
        <f>'Input data'!J118*C138</f>
        <v>37887.937398629729</v>
      </c>
      <c r="F138" s="1511">
        <f>'Input data'!L118</f>
        <v>88060.007528697344</v>
      </c>
      <c r="G138" s="1511">
        <f>G137*0.94</f>
        <v>64333.325846758482</v>
      </c>
      <c r="H138" s="528">
        <f>E138*$B$12+I138*$E$80-G138</f>
        <v>4491.135057742722</v>
      </c>
      <c r="I138" s="530">
        <f t="shared" ref="I138:I170" si="96">D138/1000</f>
        <v>50172.070130067616</v>
      </c>
      <c r="J138" s="1456">
        <f>($J$150-$J$137)/($A$150-$A$137)+J137</f>
        <v>8.7582527933999524E-2</v>
      </c>
      <c r="K138" s="1514">
        <f>(I138)*J138-(I138)*$J$137</f>
        <v>1306.2192765294853</v>
      </c>
      <c r="L138" s="1514">
        <f t="shared" ref="L138:L170" si="97">(E138)*$C$12*$G$12-(E138)*$C$12*$G$12</f>
        <v>0</v>
      </c>
      <c r="M138" s="1513">
        <f>L138+K138</f>
        <v>1306.2192765294853</v>
      </c>
      <c r="N138" s="1456">
        <v>0.05</v>
      </c>
      <c r="O138" s="530">
        <f t="shared" ref="O138:O170" si="98">N138*$E$137*($C$85)*$B$12</f>
        <v>75.191700000000026</v>
      </c>
      <c r="P138" s="1483">
        <f>O138+M138</f>
        <v>1381.4109765294854</v>
      </c>
      <c r="Q138" s="1366">
        <f t="shared" ref="Q138:Q170" si="99">E138*$B$12+(1-$J$137)*I138-P138</f>
        <v>67443.049927971719</v>
      </c>
      <c r="R138" s="1366">
        <f>Q138-G138</f>
        <v>3109.7240812132368</v>
      </c>
      <c r="S138" s="1516">
        <f t="shared" ref="S138:S170" si="100">R138/(Q138-I138*(1-J138))</f>
        <v>0.14353559855285578</v>
      </c>
      <c r="T138" s="135" t="str">
        <f t="shared" ref="T138:T170" si="101">IF(AND(S138&gt;=0,S138&lt;=1),"Yes","No")</f>
        <v>Yes</v>
      </c>
      <c r="U138" s="1516">
        <f t="shared" ref="U138:U170" si="102">IF(S138&lt;=0,0,IF(S138&gt;=1,1,S138))</f>
        <v>0.14353559855285578</v>
      </c>
      <c r="V138" s="1541">
        <f t="shared" si="95"/>
        <v>84950.283447484122</v>
      </c>
      <c r="W138" s="1542">
        <f t="shared" ref="W138:W170" si="103">(1-V138/F138)</f>
        <v>3.5313693110914368E-2</v>
      </c>
      <c r="X138" s="527">
        <f t="shared" ref="X138:X170" si="104">(E138*$B$12-O138-L138)*(1-U138)+I138*(1-J138)</f>
        <v>64333.325846758482</v>
      </c>
      <c r="Y138" s="1511">
        <f t="shared" ref="Y138:Y170" si="105">I138*J138+E138*$G$12*$C$12</f>
        <v>7428.192334688978</v>
      </c>
      <c r="Z138" s="1511">
        <f t="shared" ref="Z138:Z170" si="106">($C$12*$H$12*E138+O138)</f>
        <v>1787.3285316252955</v>
      </c>
      <c r="AA138" s="1511">
        <f t="shared" ref="AA138:AA170" si="107">$F$137*$D$11</f>
        <v>0</v>
      </c>
      <c r="AB138" s="1511">
        <f t="shared" ref="AB138:AB170" si="108">E138*$E$12</f>
        <v>11401.436734411351</v>
      </c>
      <c r="AC138" s="1511">
        <f t="shared" ref="AC138:AC170" si="109">SUM(X138:AB138)</f>
        <v>84950.283447484122</v>
      </c>
      <c r="AD138" s="1537">
        <f t="shared" ref="AD138:AD170" si="110">X138-G138</f>
        <v>0</v>
      </c>
      <c r="AE138" s="1506">
        <f t="shared" ref="AE138:AE170" si="111">X138/AC138</f>
        <v>0.75730560553725579</v>
      </c>
      <c r="AF138" s="1506">
        <f t="shared" ref="AF138:AF170" si="112">Y138/AC138</f>
        <v>8.74416427260193E-2</v>
      </c>
      <c r="AG138" s="1506">
        <f t="shared" ref="AG138:AG170" si="113">Z138/AC138</f>
        <v>2.1039700623603143E-2</v>
      </c>
      <c r="AH138" s="1506">
        <f>AA138/AC138</f>
        <v>0</v>
      </c>
      <c r="AI138" s="1506">
        <f t="shared" ref="AI138:AI169" si="114">AB138/AC138</f>
        <v>0.13421305111312157</v>
      </c>
      <c r="AJ138" s="1543">
        <f t="shared" ref="AJ138:AJ170" si="115">SUM(AE138:AI138)</f>
        <v>0.99999999999999978</v>
      </c>
      <c r="AK138" s="1557">
        <f t="shared" ref="AK138:AK170" si="116">I138*(1-$J$137)-K138</f>
        <v>45777.873396394389</v>
      </c>
      <c r="AL138" s="1558">
        <f t="shared" ref="AL138:AL170" si="117">(E138*$C$86*$B$12-L138)*(1-U138)</f>
        <v>17318.787232577462</v>
      </c>
      <c r="AM138" s="1558">
        <f t="shared" ref="AM138:AM170" si="118">(E138*($C$85)*$B$12-O138)*(1-U138)</f>
        <v>1236.6652177866376</v>
      </c>
      <c r="AN138" s="1558">
        <f t="shared" ref="AN138:AN170" si="119">SUM(AK138:AM138)</f>
        <v>64333.325846758482</v>
      </c>
      <c r="AO138" s="1545">
        <f t="shared" ref="AO138:AO170" si="120">AN138-X138</f>
        <v>0</v>
      </c>
    </row>
    <row r="139" spans="1:91">
      <c r="A139" s="873">
        <f>'Input data'!A119</f>
        <v>2019</v>
      </c>
      <c r="B139" s="1553">
        <f>'Input data'!B119</f>
        <v>58.365000000000002</v>
      </c>
      <c r="C139" s="1552">
        <f>'Input data'!C119</f>
        <v>3179.2899999999995</v>
      </c>
      <c r="D139" s="1554">
        <f>'Input data'!D119</f>
        <v>49847473.41597119</v>
      </c>
      <c r="E139" s="1510">
        <f>'Input data'!J119*C139</f>
        <v>38213.061344342277</v>
      </c>
      <c r="F139" s="1511">
        <f>'Input data'!L119</f>
        <v>88060.534760313458</v>
      </c>
      <c r="G139" s="1511">
        <f>G137*0.89</f>
        <v>60911.340429377713</v>
      </c>
      <c r="H139" s="1511">
        <f t="shared" ref="H139:H170" si="121">E139*$B$12+I139*$E$80-G139</f>
        <v>7795.0603895827808</v>
      </c>
      <c r="I139" s="1513">
        <f t="shared" si="96"/>
        <v>49847.473415971188</v>
      </c>
      <c r="J139" s="1456">
        <f t="shared" ref="J139:J149" si="122">($J$150-$J$137)/($A$150-$A$137)+J138</f>
        <v>0.11361731727283289</v>
      </c>
      <c r="K139" s="1514">
        <f t="shared" ref="K139:K170" si="123">(I139)*J139-(I139)*$J$137</f>
        <v>2595.5369389158132</v>
      </c>
      <c r="L139" s="1514">
        <f t="shared" si="97"/>
        <v>0</v>
      </c>
      <c r="M139" s="1513">
        <f t="shared" ref="M139:M170" si="124">L139+K139</f>
        <v>2595.5369389158132</v>
      </c>
      <c r="N139" s="1456">
        <v>0.1</v>
      </c>
      <c r="O139" s="530">
        <f t="shared" si="98"/>
        <v>150.38340000000005</v>
      </c>
      <c r="P139" s="1483">
        <f>O139+M139</f>
        <v>2745.9203389158133</v>
      </c>
      <c r="Q139" s="1366">
        <f t="shared" si="99"/>
        <v>65960.480480044687</v>
      </c>
      <c r="R139" s="1366">
        <f t="shared" ref="R139:R170" si="125">Q139-G139</f>
        <v>5049.1400506669743</v>
      </c>
      <c r="S139" s="1516">
        <f t="shared" si="100"/>
        <v>0.23186141110153705</v>
      </c>
      <c r="T139" s="135" t="str">
        <f t="shared" si="101"/>
        <v>Yes</v>
      </c>
      <c r="U139" s="1516">
        <f t="shared" si="102"/>
        <v>0.23186141110153705</v>
      </c>
      <c r="V139" s="1541">
        <f t="shared" si="95"/>
        <v>83011.394709646513</v>
      </c>
      <c r="W139" s="1542">
        <f t="shared" si="103"/>
        <v>5.7337149546160315E-2</v>
      </c>
      <c r="X139" s="527">
        <f t="shared" si="104"/>
        <v>60911.340429377713</v>
      </c>
      <c r="Y139" s="1511">
        <f t="shared" si="105"/>
        <v>8723.5671246015063</v>
      </c>
      <c r="Z139" s="1511">
        <f t="shared" si="106"/>
        <v>1877.2124191793723</v>
      </c>
      <c r="AA139" s="1511">
        <f t="shared" si="107"/>
        <v>0</v>
      </c>
      <c r="AB139" s="1511">
        <f t="shared" si="108"/>
        <v>11499.274736487914</v>
      </c>
      <c r="AC139" s="1511">
        <f t="shared" si="109"/>
        <v>83011.394709646513</v>
      </c>
      <c r="AD139" s="1537">
        <f t="shared" si="110"/>
        <v>0</v>
      </c>
      <c r="AE139" s="1506">
        <f t="shared" si="111"/>
        <v>0.73377083522606301</v>
      </c>
      <c r="AF139" s="1506">
        <f t="shared" si="112"/>
        <v>0.10508879118480545</v>
      </c>
      <c r="AG139" s="1506">
        <f t="shared" si="113"/>
        <v>2.2613912532675792E-2</v>
      </c>
      <c r="AH139" s="1506">
        <f t="shared" ref="AH139:AH170" si="126">AA139/AC139</f>
        <v>0</v>
      </c>
      <c r="AI139" s="1506">
        <f t="shared" si="114"/>
        <v>0.13852646105645564</v>
      </c>
      <c r="AJ139" s="1543">
        <f t="shared" si="115"/>
        <v>0.99999999999999978</v>
      </c>
      <c r="AK139" s="1557">
        <f t="shared" si="116"/>
        <v>44183.937213619683</v>
      </c>
      <c r="AL139" s="1558">
        <f t="shared" si="117"/>
        <v>15666.017668085971</v>
      </c>
      <c r="AM139" s="1558">
        <f t="shared" si="118"/>
        <v>1061.3855476720448</v>
      </c>
      <c r="AN139" s="1558">
        <f t="shared" si="119"/>
        <v>60911.340429377698</v>
      </c>
      <c r="AO139" s="1545">
        <f t="shared" si="120"/>
        <v>0</v>
      </c>
    </row>
    <row r="140" spans="1:91">
      <c r="A140" s="873">
        <f>'Input data'!A120</f>
        <v>2020</v>
      </c>
      <c r="B140" s="1553">
        <f>'Input data'!B120</f>
        <v>59.308999999999997</v>
      </c>
      <c r="C140" s="1552">
        <f>'Input data'!C120</f>
        <v>2948.9199999999987</v>
      </c>
      <c r="D140" s="1554">
        <f>'Input data'!D120</f>
        <v>47586944.933914557</v>
      </c>
      <c r="E140" s="1510">
        <f>'Input data'!J120*C140</f>
        <v>35444.159186345947</v>
      </c>
      <c r="F140" s="1511">
        <f>'Input data'!L120</f>
        <v>83031.104120260512</v>
      </c>
      <c r="G140" s="1511">
        <f>G137*0.81</f>
        <v>55436.163761568481</v>
      </c>
      <c r="H140" s="1511">
        <f t="shared" si="121"/>
        <v>9560.0232193156335</v>
      </c>
      <c r="I140" s="1513">
        <f t="shared" si="96"/>
        <v>47586.944933914558</v>
      </c>
      <c r="J140" s="1456">
        <f t="shared" si="122"/>
        <v>0.13965210661166627</v>
      </c>
      <c r="K140" s="1514">
        <f>(I140)*J140-(I140)*$J$137</f>
        <v>3716.7482598993884</v>
      </c>
      <c r="L140" s="1514">
        <f t="shared" si="97"/>
        <v>0</v>
      </c>
      <c r="M140" s="1513">
        <f t="shared" si="124"/>
        <v>3716.7482598993884</v>
      </c>
      <c r="N140" s="1456">
        <f>($N$142-$N$137)/($A$102-$A$97)+N139</f>
        <v>0.2</v>
      </c>
      <c r="O140" s="530">
        <f t="shared" si="98"/>
        <v>300.7668000000001</v>
      </c>
      <c r="P140" s="1483">
        <f t="shared" ref="P140:P170" si="127">O140+M140</f>
        <v>4017.5150598993887</v>
      </c>
      <c r="Q140" s="1366">
        <f t="shared" si="99"/>
        <v>60978.671920984729</v>
      </c>
      <c r="R140" s="1366">
        <f t="shared" si="125"/>
        <v>5542.5081594162475</v>
      </c>
      <c r="S140" s="1516">
        <f t="shared" si="100"/>
        <v>0.27660892248646951</v>
      </c>
      <c r="T140" s="135" t="str">
        <f t="shared" si="101"/>
        <v>Yes</v>
      </c>
      <c r="U140" s="1516">
        <f t="shared" si="102"/>
        <v>0.27660892248646951</v>
      </c>
      <c r="V140" s="1541">
        <f t="shared" si="95"/>
        <v>77488.59596084425</v>
      </c>
      <c r="W140" s="1542">
        <f t="shared" si="103"/>
        <v>6.6752191460547228E-2</v>
      </c>
      <c r="X140" s="527">
        <f t="shared" si="104"/>
        <v>55436.163761568474</v>
      </c>
      <c r="Y140" s="1511">
        <f t="shared" si="105"/>
        <v>9483.9194914905984</v>
      </c>
      <c r="Z140" s="1511">
        <f t="shared" si="106"/>
        <v>1902.4705235478471</v>
      </c>
      <c r="AA140" s="1511">
        <f t="shared" si="107"/>
        <v>0</v>
      </c>
      <c r="AB140" s="1511">
        <f t="shared" si="108"/>
        <v>10666.04218423734</v>
      </c>
      <c r="AC140" s="1511">
        <f t="shared" si="109"/>
        <v>77488.59596084425</v>
      </c>
      <c r="AD140" s="1537">
        <f t="shared" si="110"/>
        <v>0</v>
      </c>
      <c r="AE140" s="1506">
        <f t="shared" si="111"/>
        <v>0.71541061073788093</v>
      </c>
      <c r="AF140" s="1506">
        <f t="shared" si="112"/>
        <v>0.12239116445319149</v>
      </c>
      <c r="AG140" s="1506">
        <f t="shared" si="113"/>
        <v>2.4551619499070341E-2</v>
      </c>
      <c r="AH140" s="1506">
        <f t="shared" si="126"/>
        <v>0</v>
      </c>
      <c r="AI140" s="1506">
        <f t="shared" si="114"/>
        <v>0.13764660530985742</v>
      </c>
      <c r="AJ140" s="1543">
        <f t="shared" si="115"/>
        <v>1.0000000000000002</v>
      </c>
      <c r="AK140" s="1557">
        <f t="shared" si="116"/>
        <v>40941.327826680026</v>
      </c>
      <c r="AL140" s="1558">
        <f t="shared" si="117"/>
        <v>13684.376780586761</v>
      </c>
      <c r="AM140" s="1558">
        <f t="shared" si="118"/>
        <v>810.45915430168679</v>
      </c>
      <c r="AN140" s="1558">
        <f t="shared" si="119"/>
        <v>55436.163761568474</v>
      </c>
      <c r="AO140" s="1545">
        <f t="shared" si="120"/>
        <v>0</v>
      </c>
    </row>
    <row r="141" spans="1:91">
      <c r="A141" s="873">
        <f>'Input data'!A121</f>
        <v>2021</v>
      </c>
      <c r="B141" s="1553">
        <f>'Input data'!B121</f>
        <v>59.991999999999997</v>
      </c>
      <c r="C141" s="1552">
        <f>'Input data'!C121</f>
        <v>3014.38</v>
      </c>
      <c r="D141" s="1554">
        <f>'Input data'!D121</f>
        <v>47328556.831579238</v>
      </c>
      <c r="E141" s="1510">
        <f>'Input data'!J121*C141</f>
        <v>36230.947115600815</v>
      </c>
      <c r="F141" s="1511">
        <f>'Input data'!L121</f>
        <v>83559.503947180056</v>
      </c>
      <c r="G141" s="1511">
        <f>G137*0.65</f>
        <v>44485.810425950018</v>
      </c>
      <c r="H141" s="1511">
        <f t="shared" si="121"/>
        <v>20719.356171508938</v>
      </c>
      <c r="I141" s="1513">
        <f t="shared" si="96"/>
        <v>47328.556831579241</v>
      </c>
      <c r="J141" s="1456">
        <f t="shared" si="122"/>
        <v>0.16568689595049965</v>
      </c>
      <c r="K141" s="1514">
        <f t="shared" si="123"/>
        <v>4928.7560272846749</v>
      </c>
      <c r="L141" s="1514">
        <f t="shared" si="97"/>
        <v>0</v>
      </c>
      <c r="M141" s="1513">
        <f t="shared" si="124"/>
        <v>4928.7560272846749</v>
      </c>
      <c r="N141" s="1456">
        <v>0.4</v>
      </c>
      <c r="O141" s="530">
        <f t="shared" si="98"/>
        <v>601.53360000000021</v>
      </c>
      <c r="P141" s="1483">
        <f t="shared" si="127"/>
        <v>5530.2896272846756</v>
      </c>
      <c r="Q141" s="1366">
        <f t="shared" si="99"/>
        <v>59674.876970174279</v>
      </c>
      <c r="R141" s="1366">
        <f t="shared" si="125"/>
        <v>15189.066544224261</v>
      </c>
      <c r="S141" s="1516">
        <f t="shared" si="100"/>
        <v>0.75237938811993599</v>
      </c>
      <c r="T141" s="135" t="str">
        <f t="shared" si="101"/>
        <v>Yes</v>
      </c>
      <c r="U141" s="1516">
        <f t="shared" si="102"/>
        <v>0.75237938811993599</v>
      </c>
      <c r="V141" s="1541">
        <f t="shared" si="95"/>
        <v>68370.437402955795</v>
      </c>
      <c r="W141" s="1542">
        <f t="shared" si="103"/>
        <v>0.18177545134573359</v>
      </c>
      <c r="X141" s="527">
        <f t="shared" si="104"/>
        <v>44485.810425950018</v>
      </c>
      <c r="Y141" s="1511">
        <f t="shared" si="105"/>
        <v>10743.028570395385</v>
      </c>
      <c r="Z141" s="1511">
        <f t="shared" si="106"/>
        <v>2238.7918742794518</v>
      </c>
      <c r="AA141" s="1511">
        <f t="shared" si="107"/>
        <v>0</v>
      </c>
      <c r="AB141" s="1511">
        <f t="shared" si="108"/>
        <v>10902.806532330944</v>
      </c>
      <c r="AC141" s="1511">
        <f t="shared" si="109"/>
        <v>68370.437402955795</v>
      </c>
      <c r="AD141" s="1537">
        <f t="shared" si="110"/>
        <v>0</v>
      </c>
      <c r="AE141" s="1506">
        <f t="shared" si="111"/>
        <v>0.65065856115214504</v>
      </c>
      <c r="AF141" s="1506">
        <f t="shared" si="112"/>
        <v>0.1571297329440654</v>
      </c>
      <c r="AG141" s="1506">
        <f t="shared" si="113"/>
        <v>3.2745027812015493E-2</v>
      </c>
      <c r="AH141" s="1506">
        <f t="shared" si="126"/>
        <v>0</v>
      </c>
      <c r="AI141" s="1506">
        <f t="shared" si="114"/>
        <v>0.15946667809177412</v>
      </c>
      <c r="AJ141" s="1543">
        <f t="shared" si="115"/>
        <v>1</v>
      </c>
      <c r="AK141" s="1557">
        <f t="shared" si="116"/>
        <v>39486.835160338058</v>
      </c>
      <c r="AL141" s="1558">
        <f t="shared" si="117"/>
        <v>4788.2153741274924</v>
      </c>
      <c r="AM141" s="1558">
        <f t="shared" si="118"/>
        <v>210.7598914844657</v>
      </c>
      <c r="AN141" s="1558">
        <f t="shared" si="119"/>
        <v>44485.810425950018</v>
      </c>
      <c r="AO141" s="1545">
        <f t="shared" si="120"/>
        <v>0</v>
      </c>
    </row>
    <row r="142" spans="1:91">
      <c r="A142" s="873">
        <f>'Input data'!A122</f>
        <v>2022</v>
      </c>
      <c r="B142" s="1553">
        <f>'Input data'!B122</f>
        <v>60.682000000000002</v>
      </c>
      <c r="C142" s="1552">
        <f>'Input data'!C122</f>
        <v>3077.2</v>
      </c>
      <c r="D142" s="1554">
        <f>'Input data'!D122</f>
        <v>45903210.392984279</v>
      </c>
      <c r="E142" s="1510">
        <f>'Input data'!J122*C142</f>
        <v>36986.003909303676</v>
      </c>
      <c r="F142" s="1511">
        <f>'Input data'!L122</f>
        <v>82889.214302287961</v>
      </c>
      <c r="G142" s="1559">
        <f>G137*(1-E4)</f>
        <v>34219.854173807704</v>
      </c>
      <c r="H142" s="1511">
        <f t="shared" si="121"/>
        <v>30080.949799100847</v>
      </c>
      <c r="I142" s="1513">
        <f t="shared" si="96"/>
        <v>45903.210392984278</v>
      </c>
      <c r="J142" s="1456">
        <f t="shared" si="122"/>
        <v>0.19172168528933303</v>
      </c>
      <c r="K142" s="1514">
        <f t="shared" si="123"/>
        <v>5975.4020627874625</v>
      </c>
      <c r="L142" s="1514">
        <f t="shared" si="97"/>
        <v>0</v>
      </c>
      <c r="M142" s="1513">
        <f t="shared" si="124"/>
        <v>5975.4020627874625</v>
      </c>
      <c r="N142" s="1456">
        <f>$E$26</f>
        <v>0.5</v>
      </c>
      <c r="O142" s="530">
        <f t="shared" si="98"/>
        <v>751.91700000000026</v>
      </c>
      <c r="P142" s="1483">
        <f t="shared" si="127"/>
        <v>6727.3190627874628</v>
      </c>
      <c r="Q142" s="1366">
        <f t="shared" si="99"/>
        <v>57573.484910121086</v>
      </c>
      <c r="R142" s="1366">
        <f t="shared" si="125"/>
        <v>23353.630736313382</v>
      </c>
      <c r="S142" s="1516">
        <f t="shared" si="100"/>
        <v>1.1408200517560803</v>
      </c>
      <c r="T142" s="135" t="str">
        <f t="shared" si="101"/>
        <v>No</v>
      </c>
      <c r="U142" s="1516">
        <f t="shared" si="102"/>
        <v>1</v>
      </c>
      <c r="V142" s="1541">
        <f t="shared" si="95"/>
        <v>62418.298928417367</v>
      </c>
      <c r="W142" s="1542">
        <f t="shared" si="103"/>
        <v>0.24696717837396054</v>
      </c>
      <c r="X142" s="527">
        <f t="shared" si="104"/>
        <v>37102.569536250499</v>
      </c>
      <c r="Y142" s="1511">
        <f t="shared" si="105"/>
        <v>11762.411300432748</v>
      </c>
      <c r="Z142" s="1511">
        <f t="shared" si="106"/>
        <v>2423.2959109577191</v>
      </c>
      <c r="AA142" s="1511">
        <f t="shared" si="107"/>
        <v>0</v>
      </c>
      <c r="AB142" s="1511">
        <f t="shared" si="108"/>
        <v>11130.022180776405</v>
      </c>
      <c r="AC142" s="1511">
        <f t="shared" si="109"/>
        <v>62418.298928417367</v>
      </c>
      <c r="AD142" s="1556">
        <f t="shared" si="110"/>
        <v>2882.7153624427956</v>
      </c>
      <c r="AE142" s="1506">
        <f t="shared" si="111"/>
        <v>0.59441814617217481</v>
      </c>
      <c r="AF142" s="1506">
        <f t="shared" si="112"/>
        <v>0.1884449192362985</v>
      </c>
      <c r="AG142" s="1506">
        <f t="shared" si="113"/>
        <v>3.8823485300950068E-2</v>
      </c>
      <c r="AH142" s="1506">
        <f t="shared" si="126"/>
        <v>0</v>
      </c>
      <c r="AI142" s="1506">
        <f t="shared" si="114"/>
        <v>0.17831344929057663</v>
      </c>
      <c r="AJ142" s="1543">
        <f t="shared" si="115"/>
        <v>1</v>
      </c>
      <c r="AK142" s="1557">
        <f t="shared" si="116"/>
        <v>37102.569536250507</v>
      </c>
      <c r="AL142" s="1558">
        <f t="shared" si="117"/>
        <v>0</v>
      </c>
      <c r="AM142" s="1558">
        <f t="shared" si="118"/>
        <v>0</v>
      </c>
      <c r="AN142" s="1558">
        <f t="shared" si="119"/>
        <v>37102.569536250507</v>
      </c>
      <c r="AO142" s="1545">
        <f t="shared" si="120"/>
        <v>0</v>
      </c>
    </row>
    <row r="143" spans="1:91">
      <c r="A143" s="873">
        <f>'Input data'!A123</f>
        <v>2023</v>
      </c>
      <c r="B143" s="1553">
        <f>'Input data'!B123</f>
        <v>61.381</v>
      </c>
      <c r="C143" s="1552">
        <f>'Input data'!C123</f>
        <v>3140.61</v>
      </c>
      <c r="D143" s="1554">
        <f>'Input data'!D123</f>
        <v>44745286.877069645</v>
      </c>
      <c r="E143" s="1510">
        <f>'Input data'!J123*C143</f>
        <v>37748.152131027629</v>
      </c>
      <c r="F143" s="1511">
        <f>'Input data'!L123</f>
        <v>82493.439008097281</v>
      </c>
      <c r="G143" s="1559">
        <f>($G$147-$G$142)/($A$147-$A$142)+G142</f>
        <v>32166.662923379241</v>
      </c>
      <c r="H143" s="1511">
        <f t="shared" si="121"/>
        <v>31484.811183407372</v>
      </c>
      <c r="I143" s="1513">
        <f t="shared" si="96"/>
        <v>44745.286877069644</v>
      </c>
      <c r="J143" s="1456">
        <f t="shared" si="122"/>
        <v>0.21775647462816641</v>
      </c>
      <c r="K143" s="1514">
        <f t="shared" si="123"/>
        <v>6989.6047065010425</v>
      </c>
      <c r="L143" s="1514">
        <f t="shared" si="97"/>
        <v>0</v>
      </c>
      <c r="M143" s="1513">
        <f t="shared" si="124"/>
        <v>6989.6047065010425</v>
      </c>
      <c r="N143" s="1456">
        <f>($N$147-$N$142)/($A$107-$A$102)+N142</f>
        <v>0.5</v>
      </c>
      <c r="O143" s="530">
        <f t="shared" si="98"/>
        <v>751.91700000000026</v>
      </c>
      <c r="P143" s="1483">
        <f t="shared" si="127"/>
        <v>7741.5217065010429</v>
      </c>
      <c r="Q143" s="1366">
        <f t="shared" si="99"/>
        <v>55909.952400285569</v>
      </c>
      <c r="R143" s="1366">
        <f t="shared" si="125"/>
        <v>23743.289476906328</v>
      </c>
      <c r="S143" s="1516">
        <f t="shared" si="100"/>
        <v>1.13559476218608</v>
      </c>
      <c r="T143" s="135" t="str">
        <f t="shared" si="101"/>
        <v>No</v>
      </c>
      <c r="U143" s="1516">
        <f t="shared" si="102"/>
        <v>1</v>
      </c>
      <c r="V143" s="1541">
        <f t="shared" si="95"/>
        <v>61585.197558304717</v>
      </c>
      <c r="W143" s="1542">
        <f t="shared" si="103"/>
        <v>0.25345338612614121</v>
      </c>
      <c r="X143" s="527">
        <f t="shared" si="104"/>
        <v>35001.710950493005</v>
      </c>
      <c r="Y143" s="1511">
        <f t="shared" si="105"/>
        <v>12766.377783194815</v>
      </c>
      <c r="Z143" s="1511">
        <f t="shared" si="106"/>
        <v>2457.7370057009366</v>
      </c>
      <c r="AA143" s="1511">
        <f t="shared" si="107"/>
        <v>0</v>
      </c>
      <c r="AB143" s="1511">
        <f t="shared" si="108"/>
        <v>11359.371818915957</v>
      </c>
      <c r="AC143" s="1511">
        <f t="shared" si="109"/>
        <v>61585.197558304717</v>
      </c>
      <c r="AD143" s="1556">
        <f t="shared" si="110"/>
        <v>2835.048027113764</v>
      </c>
      <c r="AE143" s="1506">
        <f t="shared" si="111"/>
        <v>0.56834616658257442</v>
      </c>
      <c r="AF143" s="1506">
        <f t="shared" si="112"/>
        <v>0.20729620573366625</v>
      </c>
      <c r="AG143" s="1506">
        <f t="shared" si="113"/>
        <v>3.9907917862472012E-2</v>
      </c>
      <c r="AH143" s="1506">
        <f t="shared" si="126"/>
        <v>0</v>
      </c>
      <c r="AI143" s="1506">
        <f t="shared" si="114"/>
        <v>0.18444970982128731</v>
      </c>
      <c r="AJ143" s="1543">
        <f t="shared" si="115"/>
        <v>1</v>
      </c>
      <c r="AK143" s="1557">
        <f t="shared" si="116"/>
        <v>35001.710950492998</v>
      </c>
      <c r="AL143" s="1558">
        <f t="shared" si="117"/>
        <v>0</v>
      </c>
      <c r="AM143" s="1558">
        <f t="shared" si="118"/>
        <v>0</v>
      </c>
      <c r="AN143" s="1558">
        <f>SUM(AK143:AM143)</f>
        <v>35001.710950492998</v>
      </c>
      <c r="AO143" s="1545">
        <f t="shared" si="120"/>
        <v>0</v>
      </c>
    </row>
    <row r="144" spans="1:91">
      <c r="A144" s="873">
        <f>'Input data'!A124</f>
        <v>2024</v>
      </c>
      <c r="B144" s="1553">
        <f>'Input data'!B124</f>
        <v>62.088000000000001</v>
      </c>
      <c r="C144" s="1552">
        <f>'Input data'!C124</f>
        <v>3201.77</v>
      </c>
      <c r="D144" s="1554">
        <f>'Input data'!D124</f>
        <v>43251251.992583826</v>
      </c>
      <c r="E144" s="1510">
        <f>'Input data'!J124*C144</f>
        <v>38483.256771315231</v>
      </c>
      <c r="F144" s="1511">
        <f>'Input data'!L124</f>
        <v>81734.508763899066</v>
      </c>
      <c r="G144" s="1559">
        <f t="shared" ref="G144:G146" si="128">($G$147-$G$142)/($A$147-$A$142)+G143</f>
        <v>30113.471672950778</v>
      </c>
      <c r="H144" s="1511">
        <f t="shared" si="121"/>
        <v>32557.730294222958</v>
      </c>
      <c r="I144" s="1513">
        <f t="shared" si="96"/>
        <v>43251.251992583828</v>
      </c>
      <c r="J144" s="1456">
        <f t="shared" si="122"/>
        <v>0.24379126396699979</v>
      </c>
      <c r="K144" s="1514">
        <f t="shared" si="123"/>
        <v>7882.2606398740209</v>
      </c>
      <c r="L144" s="1514">
        <f t="shared" si="97"/>
        <v>0</v>
      </c>
      <c r="M144" s="1513">
        <f t="shared" si="124"/>
        <v>7882.2606398740209</v>
      </c>
      <c r="N144" s="1456">
        <f>($N$147-$N$142)/($A$107-$A$102)+N143</f>
        <v>0.5</v>
      </c>
      <c r="O144" s="530">
        <f t="shared" si="98"/>
        <v>751.91700000000026</v>
      </c>
      <c r="P144" s="1483">
        <f t="shared" si="127"/>
        <v>8634.1776398740203</v>
      </c>
      <c r="Q144" s="1366">
        <f t="shared" si="99"/>
        <v>54037.024327299718</v>
      </c>
      <c r="R144" s="1366">
        <f t="shared" si="125"/>
        <v>23923.55265434894</v>
      </c>
      <c r="S144" s="1516">
        <f t="shared" si="100"/>
        <v>1.1215891646528653</v>
      </c>
      <c r="T144" s="135" t="str">
        <f t="shared" si="101"/>
        <v>No</v>
      </c>
      <c r="U144" s="1516">
        <f t="shared" si="102"/>
        <v>1</v>
      </c>
      <c r="V144" s="1541">
        <f t="shared" si="95"/>
        <v>60404.459037755943</v>
      </c>
      <c r="W144" s="1542">
        <f t="shared" si="103"/>
        <v>0.26096749156170729</v>
      </c>
      <c r="X144" s="527">
        <f t="shared" si="104"/>
        <v>32706.974601156599</v>
      </c>
      <c r="Y144" s="1511">
        <f t="shared" si="105"/>
        <v>13625.94506123162</v>
      </c>
      <c r="Z144" s="1511">
        <f t="shared" si="106"/>
        <v>2490.9560146032422</v>
      </c>
      <c r="AA144" s="1511">
        <f t="shared" si="107"/>
        <v>0</v>
      </c>
      <c r="AB144" s="1511">
        <f t="shared" si="108"/>
        <v>11580.583360764484</v>
      </c>
      <c r="AC144" s="1511">
        <f t="shared" si="109"/>
        <v>60404.459037755943</v>
      </c>
      <c r="AD144" s="1556">
        <f t="shared" si="110"/>
        <v>2593.5029282058204</v>
      </c>
      <c r="AE144" s="1506">
        <f t="shared" si="111"/>
        <v>0.54146622819207813</v>
      </c>
      <c r="AF144" s="1506">
        <f t="shared" si="112"/>
        <v>0.22557846354877034</v>
      </c>
      <c r="AG144" s="1506">
        <f t="shared" si="113"/>
        <v>4.1237949222362284E-2</v>
      </c>
      <c r="AH144" s="1506">
        <f t="shared" si="126"/>
        <v>0</v>
      </c>
      <c r="AI144" s="1506">
        <f t="shared" si="114"/>
        <v>0.19171735903678921</v>
      </c>
      <c r="AJ144" s="1543">
        <f t="shared" si="115"/>
        <v>0.99999999999999989</v>
      </c>
      <c r="AK144" s="1557">
        <f t="shared" si="116"/>
        <v>32706.974601156599</v>
      </c>
      <c r="AL144" s="1558">
        <f t="shared" si="117"/>
        <v>0</v>
      </c>
      <c r="AM144" s="1558">
        <f t="shared" si="118"/>
        <v>0</v>
      </c>
      <c r="AN144" s="1558">
        <f t="shared" si="119"/>
        <v>32706.974601156599</v>
      </c>
      <c r="AO144" s="1545">
        <f t="shared" si="120"/>
        <v>0</v>
      </c>
    </row>
    <row r="145" spans="1:41">
      <c r="A145" s="873">
        <f>'Input data'!A125</f>
        <v>2025</v>
      </c>
      <c r="B145" s="1553">
        <f>'Input data'!B125</f>
        <v>62.802999999999997</v>
      </c>
      <c r="C145" s="1552">
        <f>'Input data'!C125</f>
        <v>3265.54</v>
      </c>
      <c r="D145" s="1554">
        <f>'Input data'!D125</f>
        <v>40955103.194912732</v>
      </c>
      <c r="E145" s="1510">
        <f>'Input data'!J125*C145</f>
        <v>39249.731966068997</v>
      </c>
      <c r="F145" s="1511">
        <f>'Input data'!L125</f>
        <v>80204.835160981718</v>
      </c>
      <c r="G145" s="1559">
        <f t="shared" si="128"/>
        <v>28060.280422522315</v>
      </c>
      <c r="H145" s="1511">
        <f t="shared" si="121"/>
        <v>32895.9044368084</v>
      </c>
      <c r="I145" s="1513">
        <f t="shared" si="96"/>
        <v>40955.103194912728</v>
      </c>
      <c r="J145" s="1456">
        <f t="shared" si="122"/>
        <v>0.26982605330583315</v>
      </c>
      <c r="K145" s="1514">
        <f t="shared" si="123"/>
        <v>8530.0598722378763</v>
      </c>
      <c r="L145" s="1514">
        <f t="shared" si="97"/>
        <v>0</v>
      </c>
      <c r="M145" s="1513">
        <f t="shared" si="124"/>
        <v>8530.0598722378763</v>
      </c>
      <c r="N145" s="1456">
        <f>($N$147-$N$142)/($A$107-$A$102)+N144</f>
        <v>0.5</v>
      </c>
      <c r="O145" s="530">
        <f t="shared" si="98"/>
        <v>751.91700000000026</v>
      </c>
      <c r="P145" s="1483">
        <f t="shared" si="127"/>
        <v>9281.9768722378758</v>
      </c>
      <c r="Q145" s="1366">
        <f t="shared" si="99"/>
        <v>51674.207987092843</v>
      </c>
      <c r="R145" s="1366">
        <f t="shared" si="125"/>
        <v>23613.927564570527</v>
      </c>
      <c r="S145" s="1516">
        <f t="shared" si="100"/>
        <v>1.084707436287111</v>
      </c>
      <c r="T145" s="135" t="str">
        <f t="shared" si="101"/>
        <v>No</v>
      </c>
      <c r="U145" s="1516">
        <f t="shared" si="102"/>
        <v>1</v>
      </c>
      <c r="V145" s="1541">
        <f t="shared" si="95"/>
        <v>58434.976510985194</v>
      </c>
      <c r="W145" s="1542">
        <f t="shared" si="103"/>
        <v>0.27142825748973287</v>
      </c>
      <c r="X145" s="527">
        <f t="shared" si="104"/>
        <v>29904.349337096308</v>
      </c>
      <c r="Y145" s="1511">
        <f t="shared" si="105"/>
        <v>14193.799436497282</v>
      </c>
      <c r="Z145" s="1511">
        <f t="shared" si="106"/>
        <v>2525.5926430810055</v>
      </c>
      <c r="AA145" s="1511">
        <f t="shared" si="107"/>
        <v>0</v>
      </c>
      <c r="AB145" s="1511">
        <f t="shared" si="108"/>
        <v>11811.235094310599</v>
      </c>
      <c r="AC145" s="1511">
        <f t="shared" si="109"/>
        <v>58434.976510985194</v>
      </c>
      <c r="AD145" s="1556">
        <f t="shared" si="110"/>
        <v>1844.0689145739925</v>
      </c>
      <c r="AE145" s="1506">
        <f t="shared" si="111"/>
        <v>0.51175428010096979</v>
      </c>
      <c r="AF145" s="1506">
        <f t="shared" si="112"/>
        <v>0.24289903554301914</v>
      </c>
      <c r="AG145" s="1506">
        <f t="shared" si="113"/>
        <v>4.3220564016248374E-2</v>
      </c>
      <c r="AH145" s="1506">
        <f t="shared" si="126"/>
        <v>0</v>
      </c>
      <c r="AI145" s="1506">
        <f t="shared" si="114"/>
        <v>0.20212612033976268</v>
      </c>
      <c r="AJ145" s="1543">
        <f t="shared" si="115"/>
        <v>1</v>
      </c>
      <c r="AK145" s="1557">
        <f t="shared" si="116"/>
        <v>29904.349337096304</v>
      </c>
      <c r="AL145" s="1558">
        <f t="shared" si="117"/>
        <v>0</v>
      </c>
      <c r="AM145" s="1558">
        <f t="shared" si="118"/>
        <v>0</v>
      </c>
      <c r="AN145" s="1558">
        <f t="shared" si="119"/>
        <v>29904.349337096304</v>
      </c>
      <c r="AO145" s="1545">
        <f t="shared" si="120"/>
        <v>0</v>
      </c>
    </row>
    <row r="146" spans="1:41">
      <c r="A146" s="873">
        <f>'Input data'!A126</f>
        <v>2026</v>
      </c>
      <c r="B146" s="1553">
        <f>'Input data'!B126</f>
        <v>63.420999999999999</v>
      </c>
      <c r="C146" s="1552">
        <f>'Input data'!C126</f>
        <v>3341.28</v>
      </c>
      <c r="D146" s="1554">
        <f>'Input data'!D126</f>
        <v>39969673.998818383</v>
      </c>
      <c r="E146" s="1510">
        <f>'Input data'!J126*C146</f>
        <v>40160.079014064147</v>
      </c>
      <c r="F146" s="1511">
        <f>'Input data'!L126</f>
        <v>80129.753012882531</v>
      </c>
      <c r="G146" s="1559">
        <f t="shared" si="128"/>
        <v>26007.089172093853</v>
      </c>
      <c r="H146" s="1511">
        <f t="shared" si="121"/>
        <v>34546.681047281214</v>
      </c>
      <c r="I146" s="1513">
        <f t="shared" si="96"/>
        <v>39969.673998818384</v>
      </c>
      <c r="J146" s="1456">
        <f t="shared" si="122"/>
        <v>0.2958608426446665</v>
      </c>
      <c r="K146" s="1514">
        <f t="shared" si="123"/>
        <v>9365.4183825097407</v>
      </c>
      <c r="L146" s="1514">
        <f t="shared" si="97"/>
        <v>0</v>
      </c>
      <c r="M146" s="1513">
        <f t="shared" si="124"/>
        <v>9365.4183825097407</v>
      </c>
      <c r="N146" s="1456">
        <f>($N$147-$N$142)/($A$107-$A$102)+N145</f>
        <v>0.5</v>
      </c>
      <c r="O146" s="530">
        <f t="shared" si="98"/>
        <v>751.91700000000026</v>
      </c>
      <c r="P146" s="1483">
        <f t="shared" si="127"/>
        <v>10117.33538250974</v>
      </c>
      <c r="Q146" s="1366">
        <f t="shared" si="99"/>
        <v>50436.43483686533</v>
      </c>
      <c r="R146" s="1366">
        <f t="shared" si="125"/>
        <v>24429.345664771477</v>
      </c>
      <c r="S146" s="1516">
        <f t="shared" si="100"/>
        <v>1.0958685666933496</v>
      </c>
      <c r="T146" s="135" t="str">
        <f t="shared" si="101"/>
        <v>No</v>
      </c>
      <c r="U146" s="1516">
        <f t="shared" si="102"/>
        <v>1</v>
      </c>
      <c r="V146" s="1541">
        <f t="shared" si="95"/>
        <v>57837.530745312572</v>
      </c>
      <c r="W146" s="1542">
        <f t="shared" si="103"/>
        <v>0.27820155971260785</v>
      </c>
      <c r="X146" s="527">
        <f t="shared" si="104"/>
        <v>28144.21256929536</v>
      </c>
      <c r="Y146" s="1511">
        <f t="shared" si="105"/>
        <v>15041.40590765981</v>
      </c>
      <c r="Z146" s="1511">
        <f t="shared" si="106"/>
        <v>2566.7307682324217</v>
      </c>
      <c r="AA146" s="1511">
        <f t="shared" si="107"/>
        <v>0</v>
      </c>
      <c r="AB146" s="1511">
        <f t="shared" si="108"/>
        <v>12085.18150012498</v>
      </c>
      <c r="AC146" s="1511">
        <f t="shared" si="109"/>
        <v>57837.530745312572</v>
      </c>
      <c r="AD146" s="1556">
        <f t="shared" si="110"/>
        <v>2137.123397201507</v>
      </c>
      <c r="AE146" s="1506">
        <f t="shared" si="111"/>
        <v>0.48660812808949838</v>
      </c>
      <c r="AF146" s="1506">
        <f t="shared" si="112"/>
        <v>0.26006307174306253</v>
      </c>
      <c r="AG146" s="1506">
        <f t="shared" si="113"/>
        <v>4.4378290967071445E-2</v>
      </c>
      <c r="AH146" s="1506">
        <f t="shared" si="126"/>
        <v>0</v>
      </c>
      <c r="AI146" s="1506">
        <f t="shared" si="114"/>
        <v>0.20895050920036762</v>
      </c>
      <c r="AJ146" s="1543">
        <f t="shared" si="115"/>
        <v>1</v>
      </c>
      <c r="AK146" s="1557">
        <f t="shared" si="116"/>
        <v>28144.212569295356</v>
      </c>
      <c r="AL146" s="1558">
        <f t="shared" si="117"/>
        <v>0</v>
      </c>
      <c r="AM146" s="1558">
        <f t="shared" si="118"/>
        <v>0</v>
      </c>
      <c r="AN146" s="1558">
        <f t="shared" si="119"/>
        <v>28144.212569295356</v>
      </c>
      <c r="AO146" s="1545">
        <f t="shared" si="120"/>
        <v>0</v>
      </c>
    </row>
    <row r="147" spans="1:41">
      <c r="A147" s="873">
        <f>'Input data'!A127</f>
        <v>2027</v>
      </c>
      <c r="B147" s="1553">
        <f>'Input data'!B127</f>
        <v>64.046000000000006</v>
      </c>
      <c r="C147" s="1552">
        <f>'Input data'!C127</f>
        <v>3416.2799999999997</v>
      </c>
      <c r="D147" s="1554">
        <f>'Input data'!D127</f>
        <v>38984244.802724026</v>
      </c>
      <c r="E147" s="1510">
        <f>'Input data'!J127*C147</f>
        <v>41061.531728609109</v>
      </c>
      <c r="F147" s="1511">
        <f>'Input data'!L127</f>
        <v>80045.776531333133</v>
      </c>
      <c r="G147" s="1559">
        <f>G137*(1-E5)</f>
        <v>23953.89792166539</v>
      </c>
      <c r="H147" s="1511">
        <f t="shared" si="121"/>
        <v>36192.354025894958</v>
      </c>
      <c r="I147" s="1513">
        <f t="shared" si="96"/>
        <v>38984.244802724024</v>
      </c>
      <c r="J147" s="1456">
        <f t="shared" si="122"/>
        <v>0.32189563198349985</v>
      </c>
      <c r="K147" s="1514">
        <f t="shared" si="123"/>
        <v>10149.466009724298</v>
      </c>
      <c r="L147" s="1514">
        <f t="shared" si="97"/>
        <v>0</v>
      </c>
      <c r="M147" s="1513">
        <f t="shared" si="124"/>
        <v>10149.466009724298</v>
      </c>
      <c r="N147" s="1456">
        <f>$C$27</f>
        <v>0.5</v>
      </c>
      <c r="O147" s="530">
        <f t="shared" si="98"/>
        <v>751.91700000000026</v>
      </c>
      <c r="P147" s="1483">
        <f t="shared" si="127"/>
        <v>10901.383009724297</v>
      </c>
      <c r="Q147" s="1366">
        <f t="shared" si="99"/>
        <v>49244.86893783605</v>
      </c>
      <c r="R147" s="1366">
        <f t="shared" si="125"/>
        <v>25290.971016170661</v>
      </c>
      <c r="S147" s="1516">
        <f t="shared" si="100"/>
        <v>1.108791981130085</v>
      </c>
      <c r="T147" s="135" t="str">
        <f t="shared" si="101"/>
        <v>No</v>
      </c>
      <c r="U147" s="1516">
        <f t="shared" si="102"/>
        <v>1</v>
      </c>
      <c r="V147" s="1541">
        <f t="shared" si="95"/>
        <v>57236.294278048801</v>
      </c>
      <c r="W147" s="1542">
        <f t="shared" si="103"/>
        <v>0.28495547475082317</v>
      </c>
      <c r="X147" s="527">
        <f t="shared" si="104"/>
        <v>26435.386684551708</v>
      </c>
      <c r="Y147" s="1511">
        <f t="shared" si="105"/>
        <v>15836.989254075068</v>
      </c>
      <c r="Z147" s="1511">
        <f t="shared" si="106"/>
        <v>2607.4669629294931</v>
      </c>
      <c r="AA147" s="1511">
        <f t="shared" si="107"/>
        <v>0</v>
      </c>
      <c r="AB147" s="1511">
        <f t="shared" si="108"/>
        <v>12356.45137649253</v>
      </c>
      <c r="AC147" s="1511">
        <f t="shared" si="109"/>
        <v>57236.294278048801</v>
      </c>
      <c r="AD147" s="1556">
        <f t="shared" si="110"/>
        <v>2481.488762886318</v>
      </c>
      <c r="AE147" s="1506">
        <f t="shared" si="111"/>
        <v>0.46186405004018888</v>
      </c>
      <c r="AF147" s="1506">
        <f t="shared" si="112"/>
        <v>0.27669487435962203</v>
      </c>
      <c r="AG147" s="1506">
        <f t="shared" si="113"/>
        <v>4.5556180668557114E-2</v>
      </c>
      <c r="AH147" s="1506">
        <f t="shared" si="126"/>
        <v>0</v>
      </c>
      <c r="AI147" s="1506">
        <f t="shared" si="114"/>
        <v>0.2158848949316319</v>
      </c>
      <c r="AJ147" s="1543">
        <f t="shared" si="115"/>
        <v>1</v>
      </c>
      <c r="AK147" s="1557">
        <f t="shared" si="116"/>
        <v>26435.386684551704</v>
      </c>
      <c r="AL147" s="1558">
        <f t="shared" si="117"/>
        <v>0</v>
      </c>
      <c r="AM147" s="1558">
        <f t="shared" si="118"/>
        <v>0</v>
      </c>
      <c r="AN147" s="1558">
        <f t="shared" si="119"/>
        <v>26435.386684551704</v>
      </c>
      <c r="AO147" s="1545">
        <f t="shared" si="120"/>
        <v>0</v>
      </c>
    </row>
    <row r="148" spans="1:41">
      <c r="A148" s="873">
        <f>'Input data'!A128</f>
        <v>2028</v>
      </c>
      <c r="B148" s="1553">
        <f>'Input data'!B128</f>
        <v>64.676000000000002</v>
      </c>
      <c r="C148" s="1552">
        <f>'Input data'!C128</f>
        <v>3494.8800000000006</v>
      </c>
      <c r="D148" s="1554">
        <f>'Input data'!D128</f>
        <v>37998815.60662967</v>
      </c>
      <c r="E148" s="1510">
        <f>'Input data'!J128*C148</f>
        <v>42006.254173452246</v>
      </c>
      <c r="F148" s="1511">
        <f>'Input data'!L128</f>
        <v>80005.069780081918</v>
      </c>
      <c r="G148" s="1559">
        <f>($G$152-$G$147)/($A$152-$A$147)+G147</f>
        <v>21900.706671236927</v>
      </c>
      <c r="H148" s="1511">
        <f t="shared" si="121"/>
        <v>37862.855483823005</v>
      </c>
      <c r="I148" s="1513">
        <f t="shared" si="96"/>
        <v>37998.815606629672</v>
      </c>
      <c r="J148" s="1456">
        <f t="shared" si="122"/>
        <v>0.34793042132233321</v>
      </c>
      <c r="K148" s="1514">
        <f t="shared" si="123"/>
        <v>10882.202753881549</v>
      </c>
      <c r="L148" s="1514">
        <f t="shared" si="97"/>
        <v>0</v>
      </c>
      <c r="M148" s="1513">
        <f t="shared" si="124"/>
        <v>10882.202753881549</v>
      </c>
      <c r="N148" s="1456">
        <f>N147</f>
        <v>0.5</v>
      </c>
      <c r="O148" s="530">
        <f t="shared" si="98"/>
        <v>751.91700000000026</v>
      </c>
      <c r="P148" s="1483">
        <f t="shared" si="127"/>
        <v>11634.119753881549</v>
      </c>
      <c r="Q148" s="1366">
        <f t="shared" si="99"/>
        <v>48129.442401178385</v>
      </c>
      <c r="R148" s="1366">
        <f t="shared" si="125"/>
        <v>26228.735729941458</v>
      </c>
      <c r="S148" s="1516">
        <f t="shared" si="100"/>
        <v>1.1232107701162932</v>
      </c>
      <c r="T148" s="135" t="str">
        <f t="shared" si="101"/>
        <v>No</v>
      </c>
      <c r="U148" s="1516">
        <f t="shared" si="102"/>
        <v>1</v>
      </c>
      <c r="V148" s="1541">
        <f t="shared" si="95"/>
        <v>56653.499061768904</v>
      </c>
      <c r="W148" s="1542">
        <f t="shared" si="103"/>
        <v>0.29187613713108251</v>
      </c>
      <c r="X148" s="527">
        <f t="shared" si="104"/>
        <v>24777.87168286536</v>
      </c>
      <c r="Y148" s="1511">
        <f t="shared" si="105"/>
        <v>16584.72667700579</v>
      </c>
      <c r="Z148" s="1511">
        <f t="shared" si="106"/>
        <v>2650.1584949720245</v>
      </c>
      <c r="AA148" s="1511">
        <f t="shared" si="107"/>
        <v>0</v>
      </c>
      <c r="AB148" s="1511">
        <f t="shared" si="108"/>
        <v>12640.742206925726</v>
      </c>
      <c r="AC148" s="1511">
        <f t="shared" si="109"/>
        <v>56653.499061768904</v>
      </c>
      <c r="AD148" s="1556">
        <f t="shared" si="110"/>
        <v>2877.1650116284327</v>
      </c>
      <c r="AE148" s="1506">
        <f t="shared" si="111"/>
        <v>0.4373581878120224</v>
      </c>
      <c r="AF148" s="1506">
        <f t="shared" si="112"/>
        <v>0.29273967101173365</v>
      </c>
      <c r="AG148" s="1506">
        <f t="shared" si="113"/>
        <v>4.6778372719442726E-2</v>
      </c>
      <c r="AH148" s="1506">
        <f t="shared" si="126"/>
        <v>0</v>
      </c>
      <c r="AI148" s="1506">
        <f t="shared" si="114"/>
        <v>0.22312376845680115</v>
      </c>
      <c r="AJ148" s="1543">
        <f t="shared" si="115"/>
        <v>1</v>
      </c>
      <c r="AK148" s="1557">
        <f t="shared" si="116"/>
        <v>24777.87168286536</v>
      </c>
      <c r="AL148" s="1558">
        <f t="shared" si="117"/>
        <v>0</v>
      </c>
      <c r="AM148" s="1558">
        <f t="shared" si="118"/>
        <v>0</v>
      </c>
      <c r="AN148" s="1558">
        <f t="shared" si="119"/>
        <v>24777.87168286536</v>
      </c>
      <c r="AO148" s="1545">
        <f t="shared" si="120"/>
        <v>0</v>
      </c>
    </row>
    <row r="149" spans="1:41">
      <c r="A149" s="873">
        <f>'Input data'!A129</f>
        <v>2029</v>
      </c>
      <c r="B149" s="1553">
        <f>'Input data'!B129</f>
        <v>65.313000000000002</v>
      </c>
      <c r="C149" s="1552">
        <f>'Input data'!C129</f>
        <v>3576.08</v>
      </c>
      <c r="D149" s="1554">
        <f>'Input data'!D129</f>
        <v>37013386.410535313</v>
      </c>
      <c r="E149" s="1510">
        <f>'Input data'!J129*C149</f>
        <v>42982.226979066254</v>
      </c>
      <c r="F149" s="1511">
        <f>'Input data'!L129</f>
        <v>79995.613389601567</v>
      </c>
      <c r="G149" s="1559">
        <f t="shared" ref="G149:G151" si="129">($G$152-$G$147)/($A$152-$A$147)+G148</f>
        <v>19847.515420808464</v>
      </c>
      <c r="H149" s="1511">
        <f t="shared" si="121"/>
        <v>39551.288621255801</v>
      </c>
      <c r="I149" s="1513">
        <f t="shared" si="96"/>
        <v>37013.386410535313</v>
      </c>
      <c r="J149" s="1456">
        <f t="shared" si="122"/>
        <v>0.37396521066116656</v>
      </c>
      <c r="K149" s="1514">
        <f t="shared" si="123"/>
        <v>11563.628614981495</v>
      </c>
      <c r="L149" s="1514">
        <f t="shared" si="97"/>
        <v>0</v>
      </c>
      <c r="M149" s="1513">
        <f t="shared" si="124"/>
        <v>11563.628614981495</v>
      </c>
      <c r="N149" s="1456">
        <f t="shared" ref="N149:N170" si="130">N148</f>
        <v>0.5</v>
      </c>
      <c r="O149" s="530">
        <f t="shared" si="98"/>
        <v>751.91700000000026</v>
      </c>
      <c r="P149" s="1483">
        <f t="shared" si="127"/>
        <v>12315.545614981495</v>
      </c>
      <c r="Q149" s="1366">
        <f t="shared" si="99"/>
        <v>47083.258427082772</v>
      </c>
      <c r="R149" s="1366">
        <f t="shared" si="125"/>
        <v>27235.743006274308</v>
      </c>
      <c r="S149" s="1516">
        <f t="shared" si="100"/>
        <v>1.1390184435027648</v>
      </c>
      <c r="T149" s="135" t="str">
        <f t="shared" si="101"/>
        <v>No</v>
      </c>
      <c r="U149" s="1516">
        <f t="shared" si="102"/>
        <v>1</v>
      </c>
      <c r="V149" s="1541">
        <f t="shared" si="95"/>
        <v>56084.022526755114</v>
      </c>
      <c r="W149" s="1542">
        <f t="shared" si="103"/>
        <v>0.29891127587696775</v>
      </c>
      <c r="X149" s="527">
        <f t="shared" si="104"/>
        <v>23171.667564236312</v>
      </c>
      <c r="Y149" s="1511">
        <f t="shared" si="105"/>
        <v>17283.655687681759</v>
      </c>
      <c r="Z149" s="1511">
        <f t="shared" si="106"/>
        <v>2694.2622150973871</v>
      </c>
      <c r="AA149" s="1511">
        <f t="shared" si="107"/>
        <v>0</v>
      </c>
      <c r="AB149" s="1511">
        <f t="shared" si="108"/>
        <v>12934.437059739659</v>
      </c>
      <c r="AC149" s="1511">
        <f t="shared" si="109"/>
        <v>56084.022526755114</v>
      </c>
      <c r="AD149" s="1556">
        <f t="shared" si="110"/>
        <v>3324.1521434278475</v>
      </c>
      <c r="AE149" s="1506">
        <f t="shared" si="111"/>
        <v>0.41315987192577303</v>
      </c>
      <c r="AF149" s="1506">
        <f t="shared" si="112"/>
        <v>0.30817432325644117</v>
      </c>
      <c r="AG149" s="1506">
        <f t="shared" si="113"/>
        <v>4.8039746325472255E-2</v>
      </c>
      <c r="AH149" s="1506">
        <f t="shared" si="126"/>
        <v>0</v>
      </c>
      <c r="AI149" s="1506">
        <f t="shared" si="114"/>
        <v>0.2306260584923136</v>
      </c>
      <c r="AJ149" s="1543">
        <f t="shared" si="115"/>
        <v>1</v>
      </c>
      <c r="AK149" s="1557">
        <f t="shared" si="116"/>
        <v>23171.667564236315</v>
      </c>
      <c r="AL149" s="1558">
        <f t="shared" si="117"/>
        <v>0</v>
      </c>
      <c r="AM149" s="1558">
        <f t="shared" si="118"/>
        <v>0</v>
      </c>
      <c r="AN149" s="1558">
        <f t="shared" si="119"/>
        <v>23171.667564236315</v>
      </c>
      <c r="AO149" s="1545">
        <f t="shared" si="120"/>
        <v>0</v>
      </c>
    </row>
    <row r="150" spans="1:41">
      <c r="A150" s="873">
        <f>'Input data'!A130</f>
        <v>2030</v>
      </c>
      <c r="B150" s="1553">
        <f>'Input data'!B130</f>
        <v>65.956000000000003</v>
      </c>
      <c r="C150" s="1552">
        <f>'Input data'!C130</f>
        <v>3660.12</v>
      </c>
      <c r="D150" s="1554">
        <f>'Input data'!D130</f>
        <v>36027957.214440949</v>
      </c>
      <c r="E150" s="1510">
        <f>'Input data'!J130*C150</f>
        <v>43992.334794137714</v>
      </c>
      <c r="F150" s="1511">
        <f>'Input data'!L130</f>
        <v>80020.292008578661</v>
      </c>
      <c r="G150" s="1559">
        <f t="shared" si="129"/>
        <v>17794.324170380001</v>
      </c>
      <c r="H150" s="1511">
        <f t="shared" si="121"/>
        <v>41259.308670147642</v>
      </c>
      <c r="I150" s="1513">
        <f t="shared" si="96"/>
        <v>36027.957214440947</v>
      </c>
      <c r="J150" s="1456">
        <f>$H$19</f>
        <v>0.4</v>
      </c>
      <c r="K150" s="1514">
        <f t="shared" si="123"/>
        <v>12193.743593024137</v>
      </c>
      <c r="L150" s="1514">
        <f t="shared" si="97"/>
        <v>0</v>
      </c>
      <c r="M150" s="1513">
        <f t="shared" si="124"/>
        <v>12193.743593024137</v>
      </c>
      <c r="N150" s="1456">
        <f t="shared" si="130"/>
        <v>0.5</v>
      </c>
      <c r="O150" s="530">
        <f t="shared" si="98"/>
        <v>751.91700000000026</v>
      </c>
      <c r="P150" s="1483">
        <f t="shared" si="127"/>
        <v>12945.660593024137</v>
      </c>
      <c r="Q150" s="1366">
        <f t="shared" si="99"/>
        <v>46107.972247503509</v>
      </c>
      <c r="R150" s="1366">
        <f t="shared" si="125"/>
        <v>28313.648077123507</v>
      </c>
      <c r="S150" s="1516">
        <f t="shared" si="100"/>
        <v>1.1560744464583452</v>
      </c>
      <c r="T150" s="135" t="str">
        <f t="shared" si="101"/>
        <v>No</v>
      </c>
      <c r="U150" s="1516">
        <f t="shared" si="102"/>
        <v>1</v>
      </c>
      <c r="V150" s="1541">
        <f t="shared" si="95"/>
        <v>55529.094089739723</v>
      </c>
      <c r="W150" s="1542">
        <f t="shared" si="103"/>
        <v>0.30606234123981113</v>
      </c>
      <c r="X150" s="527">
        <f t="shared" si="104"/>
        <v>21616.774328664567</v>
      </c>
      <c r="Y150" s="1511">
        <f t="shared" si="105"/>
        <v>17934.007283407827</v>
      </c>
      <c r="Z150" s="1511">
        <f t="shared" si="106"/>
        <v>2739.9084791286127</v>
      </c>
      <c r="AA150" s="1511">
        <f t="shared" si="107"/>
        <v>0</v>
      </c>
      <c r="AB150" s="1511">
        <f t="shared" si="108"/>
        <v>13238.403998538715</v>
      </c>
      <c r="AC150" s="1511">
        <f t="shared" si="109"/>
        <v>55529.094089739723</v>
      </c>
      <c r="AD150" s="1556">
        <f t="shared" si="110"/>
        <v>3822.450158284566</v>
      </c>
      <c r="AE150" s="1506">
        <f t="shared" si="111"/>
        <v>0.38928735797004049</v>
      </c>
      <c r="AF150" s="1506">
        <f t="shared" si="112"/>
        <v>0.32296596185100646</v>
      </c>
      <c r="AG150" s="1506">
        <f t="shared" si="113"/>
        <v>4.9341854464628729E-2</v>
      </c>
      <c r="AH150" s="1506">
        <f t="shared" si="126"/>
        <v>0</v>
      </c>
      <c r="AI150" s="1506">
        <f t="shared" si="114"/>
        <v>0.23840482571432431</v>
      </c>
      <c r="AJ150" s="1543">
        <f t="shared" si="115"/>
        <v>1</v>
      </c>
      <c r="AK150" s="1557">
        <f t="shared" si="116"/>
        <v>21616.774328664567</v>
      </c>
      <c r="AL150" s="1558">
        <f t="shared" si="117"/>
        <v>0</v>
      </c>
      <c r="AM150" s="1558">
        <f t="shared" si="118"/>
        <v>0</v>
      </c>
      <c r="AN150" s="1558">
        <f t="shared" si="119"/>
        <v>21616.774328664567</v>
      </c>
      <c r="AO150" s="1545">
        <f t="shared" si="120"/>
        <v>0</v>
      </c>
    </row>
    <row r="151" spans="1:41">
      <c r="A151" s="873">
        <f>'Input data'!A131</f>
        <v>2031</v>
      </c>
      <c r="B151" s="1553">
        <f>'Input data'!B131</f>
        <v>66.519000000000005</v>
      </c>
      <c r="C151" s="1552">
        <f>'Input data'!C131</f>
        <v>3761.03</v>
      </c>
      <c r="D151" s="1554">
        <f>'Input data'!D131</f>
        <v>35846430.699385166</v>
      </c>
      <c r="E151" s="1510">
        <f>'Input data'!J131*C151</f>
        <v>45205.209373134152</v>
      </c>
      <c r="F151" s="1511">
        <f>'Input data'!L131</f>
        <v>81051.640072519309</v>
      </c>
      <c r="G151" s="1559">
        <f t="shared" si="129"/>
        <v>15741.132919951538</v>
      </c>
      <c r="H151" s="1511">
        <f t="shared" si="121"/>
        <v>43838.10202079625</v>
      </c>
      <c r="I151" s="1513">
        <f t="shared" si="96"/>
        <v>35846.430699385164</v>
      </c>
      <c r="J151" s="1456">
        <f>J150</f>
        <v>0.4</v>
      </c>
      <c r="K151" s="1514">
        <f t="shared" si="123"/>
        <v>12132.305533498569</v>
      </c>
      <c r="L151" s="1514">
        <f t="shared" si="97"/>
        <v>0</v>
      </c>
      <c r="M151" s="1513">
        <f t="shared" si="124"/>
        <v>12132.305533498569</v>
      </c>
      <c r="N151" s="1456">
        <f t="shared" si="130"/>
        <v>0.5</v>
      </c>
      <c r="O151" s="530">
        <f t="shared" si="98"/>
        <v>751.91700000000026</v>
      </c>
      <c r="P151" s="1483">
        <f t="shared" si="127"/>
        <v>12884.222533498569</v>
      </c>
      <c r="Q151" s="1366">
        <f t="shared" si="99"/>
        <v>46695.012407249218</v>
      </c>
      <c r="R151" s="1366">
        <f t="shared" si="125"/>
        <v>30953.87948729768</v>
      </c>
      <c r="S151" s="1516">
        <f t="shared" si="100"/>
        <v>1.2289550261420743</v>
      </c>
      <c r="T151" s="135" t="str">
        <f t="shared" si="101"/>
        <v>No</v>
      </c>
      <c r="U151" s="1516">
        <f t="shared" si="102"/>
        <v>1</v>
      </c>
      <c r="V151" s="1541">
        <f t="shared" si="95"/>
        <v>55864.486084901204</v>
      </c>
      <c r="W151" s="1542">
        <f t="shared" si="103"/>
        <v>0.31075440256461695</v>
      </c>
      <c r="X151" s="527">
        <f t="shared" si="104"/>
        <v>21507.858419631099</v>
      </c>
      <c r="Y151" s="1511">
        <f t="shared" si="105"/>
        <v>17958.521419187695</v>
      </c>
      <c r="Z151" s="1511">
        <f t="shared" si="106"/>
        <v>2794.7176712203664</v>
      </c>
      <c r="AA151" s="1511">
        <f t="shared" si="107"/>
        <v>0</v>
      </c>
      <c r="AB151" s="1511">
        <f t="shared" si="108"/>
        <v>13603.388574862045</v>
      </c>
      <c r="AC151" s="1511">
        <f t="shared" si="109"/>
        <v>55864.486084901204</v>
      </c>
      <c r="AD151" s="1556">
        <f t="shared" si="110"/>
        <v>5766.72549967956</v>
      </c>
      <c r="AE151" s="1506">
        <f t="shared" si="111"/>
        <v>0.38500055987168819</v>
      </c>
      <c r="AF151" s="1506">
        <f t="shared" si="112"/>
        <v>0.32146579477872333</v>
      </c>
      <c r="AG151" s="1506">
        <f t="shared" si="113"/>
        <v>5.0026731955844658E-2</v>
      </c>
      <c r="AH151" s="1506">
        <f t="shared" si="126"/>
        <v>0</v>
      </c>
      <c r="AI151" s="1506">
        <f t="shared" si="114"/>
        <v>0.24350691339374383</v>
      </c>
      <c r="AJ151" s="1543">
        <f t="shared" si="115"/>
        <v>1</v>
      </c>
      <c r="AK151" s="1557">
        <f t="shared" si="116"/>
        <v>21507.858419631099</v>
      </c>
      <c r="AL151" s="1558">
        <f t="shared" si="117"/>
        <v>0</v>
      </c>
      <c r="AM151" s="1558">
        <f t="shared" si="118"/>
        <v>0</v>
      </c>
      <c r="AN151" s="1558">
        <f t="shared" si="119"/>
        <v>21507.858419631099</v>
      </c>
      <c r="AO151" s="1545">
        <f t="shared" si="120"/>
        <v>0</v>
      </c>
    </row>
    <row r="152" spans="1:41">
      <c r="A152" s="873">
        <f>'Input data'!A132</f>
        <v>2032</v>
      </c>
      <c r="B152" s="1553">
        <f>'Input data'!B132</f>
        <v>67.087000000000003</v>
      </c>
      <c r="C152" s="1552">
        <f>'Input data'!C132</f>
        <v>3857.2</v>
      </c>
      <c r="D152" s="1554">
        <f>'Input data'!D132</f>
        <v>35664904.184329376</v>
      </c>
      <c r="E152" s="1510">
        <f>'Input data'!J132*C152</f>
        <v>46361.112140571342</v>
      </c>
      <c r="F152" s="1511">
        <f>'Input data'!L132</f>
        <v>82026.016324900716</v>
      </c>
      <c r="G152" s="1559">
        <f>G137*(1-E6)</f>
        <v>13687.941669523079</v>
      </c>
      <c r="H152" s="1511">
        <f t="shared" si="121"/>
        <v>46384.204540347695</v>
      </c>
      <c r="I152" s="1513">
        <f t="shared" si="96"/>
        <v>35664.904184329374</v>
      </c>
      <c r="J152" s="1456">
        <f t="shared" ref="J152:J170" si="131">J151</f>
        <v>0.4</v>
      </c>
      <c r="K152" s="1514">
        <f t="shared" si="123"/>
        <v>12070.867473972998</v>
      </c>
      <c r="L152" s="1514">
        <f t="shared" si="97"/>
        <v>0</v>
      </c>
      <c r="M152" s="1513">
        <f t="shared" si="124"/>
        <v>12070.867473972998</v>
      </c>
      <c r="N152" s="1456">
        <f t="shared" si="130"/>
        <v>0.5</v>
      </c>
      <c r="O152" s="530">
        <f t="shared" si="98"/>
        <v>751.91700000000026</v>
      </c>
      <c r="P152" s="1483">
        <f t="shared" si="127"/>
        <v>12822.784473972997</v>
      </c>
      <c r="Q152" s="1366">
        <f t="shared" si="99"/>
        <v>47249.361735897772</v>
      </c>
      <c r="R152" s="1366">
        <f t="shared" si="125"/>
        <v>33561.420066374689</v>
      </c>
      <c r="S152" s="1516">
        <f t="shared" si="100"/>
        <v>1.2982930672755852</v>
      </c>
      <c r="T152" s="135" t="str">
        <f t="shared" si="101"/>
        <v>No</v>
      </c>
      <c r="U152" s="1516">
        <f t="shared" si="102"/>
        <v>1</v>
      </c>
      <c r="V152" s="1541">
        <f t="shared" si="95"/>
        <v>56175.597099600578</v>
      </c>
      <c r="W152" s="1542">
        <f t="shared" si="103"/>
        <v>0.31514902690029456</v>
      </c>
      <c r="X152" s="527">
        <f t="shared" si="104"/>
        <v>21398.942510597622</v>
      </c>
      <c r="Y152" s="1511">
        <f t="shared" si="105"/>
        <v>17978.473358196748</v>
      </c>
      <c r="Z152" s="1511">
        <f t="shared" si="106"/>
        <v>2846.9523358072647</v>
      </c>
      <c r="AA152" s="1511">
        <f t="shared" si="107"/>
        <v>0</v>
      </c>
      <c r="AB152" s="1511">
        <f t="shared" si="108"/>
        <v>13951.228894998943</v>
      </c>
      <c r="AC152" s="1511">
        <f t="shared" si="109"/>
        <v>56175.597099600578</v>
      </c>
      <c r="AD152" s="1556">
        <f t="shared" si="110"/>
        <v>7711.0008410745431</v>
      </c>
      <c r="AE152" s="1506">
        <f t="shared" si="111"/>
        <v>0.38092950703589001</v>
      </c>
      <c r="AF152" s="1506">
        <f t="shared" si="112"/>
        <v>0.32004062771812675</v>
      </c>
      <c r="AG152" s="1506">
        <f t="shared" si="113"/>
        <v>5.0679520695784595E-2</v>
      </c>
      <c r="AH152" s="1506">
        <f t="shared" si="126"/>
        <v>0</v>
      </c>
      <c r="AI152" s="1506">
        <f t="shared" si="114"/>
        <v>0.24835034455019864</v>
      </c>
      <c r="AJ152" s="1543">
        <f t="shared" si="115"/>
        <v>1</v>
      </c>
      <c r="AK152" s="1557">
        <f t="shared" si="116"/>
        <v>21398.942510597626</v>
      </c>
      <c r="AL152" s="1558">
        <f t="shared" si="117"/>
        <v>0</v>
      </c>
      <c r="AM152" s="1558">
        <f t="shared" si="118"/>
        <v>0</v>
      </c>
      <c r="AN152" s="1558">
        <f t="shared" si="119"/>
        <v>21398.942510597626</v>
      </c>
      <c r="AO152" s="1545">
        <f t="shared" si="120"/>
        <v>0</v>
      </c>
    </row>
    <row r="153" spans="1:41">
      <c r="A153" s="873">
        <f>'Input data'!A133</f>
        <v>2033</v>
      </c>
      <c r="B153" s="1553">
        <f>'Input data'!B133</f>
        <v>67.659000000000006</v>
      </c>
      <c r="C153" s="1552">
        <f>'Input data'!C133</f>
        <v>3964.01</v>
      </c>
      <c r="D153" s="1554">
        <f>'Input data'!D133</f>
        <v>35483377.6692736</v>
      </c>
      <c r="E153" s="1510">
        <f>'Input data'!J133*C153</f>
        <v>47644.900999778656</v>
      </c>
      <c r="F153" s="1511">
        <f>'Input data'!L133</f>
        <v>83128.278669052263</v>
      </c>
      <c r="G153" s="1559">
        <f>G152</f>
        <v>13687.941669523079</v>
      </c>
      <c r="H153" s="1511">
        <f t="shared" si="121"/>
        <v>46950.497759444042</v>
      </c>
      <c r="I153" s="1513">
        <f t="shared" si="96"/>
        <v>35483.377669273599</v>
      </c>
      <c r="J153" s="1456">
        <f t="shared" si="131"/>
        <v>0.4</v>
      </c>
      <c r="K153" s="1514">
        <f t="shared" si="123"/>
        <v>12009.429414447433</v>
      </c>
      <c r="L153" s="1514">
        <f t="shared" si="97"/>
        <v>0</v>
      </c>
      <c r="M153" s="1513">
        <f t="shared" si="124"/>
        <v>12009.429414447433</v>
      </c>
      <c r="N153" s="1456">
        <f t="shared" si="130"/>
        <v>0.5</v>
      </c>
      <c r="O153" s="530">
        <f t="shared" si="98"/>
        <v>751.91700000000026</v>
      </c>
      <c r="P153" s="1483">
        <f t="shared" si="127"/>
        <v>12761.346414447433</v>
      </c>
      <c r="Q153" s="1366">
        <f t="shared" si="99"/>
        <v>47877.093014519683</v>
      </c>
      <c r="R153" s="1366">
        <f t="shared" si="125"/>
        <v>34189.151344996601</v>
      </c>
      <c r="S153" s="1516">
        <f t="shared" si="100"/>
        <v>1.2859316937778693</v>
      </c>
      <c r="T153" s="135" t="str">
        <f t="shared" si="101"/>
        <v>No</v>
      </c>
      <c r="U153" s="1516">
        <f t="shared" si="102"/>
        <v>1</v>
      </c>
      <c r="V153" s="1541">
        <f t="shared" si="95"/>
        <v>56541.21225609674</v>
      </c>
      <c r="W153" s="1542">
        <f t="shared" si="103"/>
        <v>0.31983179296666453</v>
      </c>
      <c r="X153" s="527">
        <f t="shared" si="104"/>
        <v>21290.026601564157</v>
      </c>
      <c r="Y153" s="1511">
        <f t="shared" si="105"/>
        <v>18008.666177720872</v>
      </c>
      <c r="Z153" s="1511">
        <f t="shared" si="106"/>
        <v>2904.9661085485213</v>
      </c>
      <c r="AA153" s="1511">
        <f t="shared" si="107"/>
        <v>0</v>
      </c>
      <c r="AB153" s="1511">
        <f t="shared" si="108"/>
        <v>14337.553368263189</v>
      </c>
      <c r="AC153" s="1511">
        <f t="shared" si="109"/>
        <v>56541.21225609674</v>
      </c>
      <c r="AD153" s="1556">
        <f t="shared" si="110"/>
        <v>7602.084932041078</v>
      </c>
      <c r="AE153" s="1506">
        <f t="shared" si="111"/>
        <v>0.3765399741543124</v>
      </c>
      <c r="AF153" s="1506">
        <f t="shared" si="112"/>
        <v>0.31850513031366828</v>
      </c>
      <c r="AG153" s="1506">
        <f t="shared" si="113"/>
        <v>5.1377853297358049E-2</v>
      </c>
      <c r="AH153" s="1506">
        <f t="shared" si="126"/>
        <v>0</v>
      </c>
      <c r="AI153" s="1506">
        <f t="shared" si="114"/>
        <v>0.25357704223466121</v>
      </c>
      <c r="AJ153" s="1543">
        <f t="shared" si="115"/>
        <v>0.99999999999999978</v>
      </c>
      <c r="AK153" s="1557">
        <f t="shared" si="116"/>
        <v>21290.026601564161</v>
      </c>
      <c r="AL153" s="1558">
        <f t="shared" si="117"/>
        <v>0</v>
      </c>
      <c r="AM153" s="1558">
        <f t="shared" si="118"/>
        <v>0</v>
      </c>
      <c r="AN153" s="1558">
        <f t="shared" si="119"/>
        <v>21290.026601564161</v>
      </c>
      <c r="AO153" s="1545">
        <f t="shared" si="120"/>
        <v>0</v>
      </c>
    </row>
    <row r="154" spans="1:41">
      <c r="A154" s="873">
        <f>'Input data'!A134</f>
        <v>2034</v>
      </c>
      <c r="B154" s="1553">
        <f>'Input data'!B134</f>
        <v>68.236999999999995</v>
      </c>
      <c r="C154" s="1552">
        <f>'Input data'!C134</f>
        <v>4078.22</v>
      </c>
      <c r="D154" s="1554">
        <f>'Input data'!D134</f>
        <v>35301851.154217809</v>
      </c>
      <c r="E154" s="1510">
        <f>'Input data'!J134*C154</f>
        <v>49017.633193487723</v>
      </c>
      <c r="F154" s="1511">
        <f>'Input data'!L134</f>
        <v>84319.484347705526</v>
      </c>
      <c r="G154" s="1559">
        <f t="shared" ref="G154:G170" si="132">G153</f>
        <v>13687.941669523079</v>
      </c>
      <c r="H154" s="1511">
        <f t="shared" si="121"/>
        <v>47567.827297130847</v>
      </c>
      <c r="I154" s="1513">
        <f t="shared" si="96"/>
        <v>35301.851154217809</v>
      </c>
      <c r="J154" s="1456">
        <f t="shared" si="131"/>
        <v>0.4</v>
      </c>
      <c r="K154" s="1514">
        <f t="shared" si="123"/>
        <v>11947.991354921862</v>
      </c>
      <c r="L154" s="1514">
        <f t="shared" si="97"/>
        <v>0</v>
      </c>
      <c r="M154" s="1513">
        <f t="shared" si="124"/>
        <v>11947.991354921862</v>
      </c>
      <c r="N154" s="1456">
        <f t="shared" si="130"/>
        <v>0.5</v>
      </c>
      <c r="O154" s="530">
        <f t="shared" si="98"/>
        <v>751.91700000000026</v>
      </c>
      <c r="P154" s="1483">
        <f t="shared" si="127"/>
        <v>12699.908354921861</v>
      </c>
      <c r="Q154" s="1366">
        <f t="shared" si="99"/>
        <v>48555.86061173206</v>
      </c>
      <c r="R154" s="1366">
        <f t="shared" si="125"/>
        <v>34867.918942208984</v>
      </c>
      <c r="S154" s="1516">
        <f t="shared" si="100"/>
        <v>1.2737255699184196</v>
      </c>
      <c r="T154" s="135" t="str">
        <f t="shared" si="101"/>
        <v>No</v>
      </c>
      <c r="U154" s="1516">
        <f t="shared" si="102"/>
        <v>1</v>
      </c>
      <c r="V154" s="1541">
        <f t="shared" si="95"/>
        <v>56944.734428504162</v>
      </c>
      <c r="W154" s="1542">
        <f t="shared" si="103"/>
        <v>0.324655091654937</v>
      </c>
      <c r="X154" s="527">
        <f t="shared" si="104"/>
        <v>21181.110692530685</v>
      </c>
      <c r="Y154" s="1511">
        <f t="shared" si="105"/>
        <v>18045.981414144564</v>
      </c>
      <c r="Z154" s="1511">
        <f t="shared" si="106"/>
        <v>2966.9991858332214</v>
      </c>
      <c r="AA154" s="1511">
        <f t="shared" si="107"/>
        <v>0</v>
      </c>
      <c r="AB154" s="1511">
        <f t="shared" si="108"/>
        <v>14750.643135995693</v>
      </c>
      <c r="AC154" s="1511">
        <f t="shared" si="109"/>
        <v>56944.734428504162</v>
      </c>
      <c r="AD154" s="1556">
        <f t="shared" si="110"/>
        <v>7493.1690230076056</v>
      </c>
      <c r="AE154" s="1506">
        <f t="shared" si="111"/>
        <v>0.37195907409357071</v>
      </c>
      <c r="AF154" s="1506">
        <f t="shared" si="112"/>
        <v>0.31690342566794899</v>
      </c>
      <c r="AG154" s="1506">
        <f t="shared" si="113"/>
        <v>5.2103135006422392E-2</v>
      </c>
      <c r="AH154" s="1506">
        <f t="shared" si="126"/>
        <v>0</v>
      </c>
      <c r="AI154" s="1506">
        <f t="shared" si="114"/>
        <v>0.25903436523205797</v>
      </c>
      <c r="AJ154" s="1543">
        <f t="shared" si="115"/>
        <v>1</v>
      </c>
      <c r="AK154" s="1557">
        <f t="shared" si="116"/>
        <v>21181.110692530689</v>
      </c>
      <c r="AL154" s="1558">
        <f t="shared" si="117"/>
        <v>0</v>
      </c>
      <c r="AM154" s="1558">
        <f t="shared" si="118"/>
        <v>0</v>
      </c>
      <c r="AN154" s="1558">
        <f t="shared" si="119"/>
        <v>21181.110692530689</v>
      </c>
      <c r="AO154" s="1545">
        <f t="shared" si="120"/>
        <v>0</v>
      </c>
    </row>
    <row r="155" spans="1:41">
      <c r="A155" s="873">
        <f>'Input data'!A135</f>
        <v>2035</v>
      </c>
      <c r="B155" s="1553">
        <f>'Input data'!B135</f>
        <v>68.819000000000003</v>
      </c>
      <c r="C155" s="1552">
        <f>'Input data'!C135</f>
        <v>4200.2899999999991</v>
      </c>
      <c r="D155" s="1554">
        <f>'Input data'!D135</f>
        <v>35120324.639162026</v>
      </c>
      <c r="E155" s="1510">
        <f>'Input data'!J135*C155</f>
        <v>50484.837631681105</v>
      </c>
      <c r="F155" s="1511">
        <f>'Input data'!L135</f>
        <v>85605.162270843139</v>
      </c>
      <c r="G155" s="1559">
        <f t="shared" si="132"/>
        <v>13687.941669523079</v>
      </c>
      <c r="H155" s="1511">
        <f t="shared" si="121"/>
        <v>48239.365681320531</v>
      </c>
      <c r="I155" s="1513">
        <f t="shared" si="96"/>
        <v>35120.324639162027</v>
      </c>
      <c r="J155" s="1456">
        <f t="shared" si="131"/>
        <v>0.4</v>
      </c>
      <c r="K155" s="1514">
        <f t="shared" si="123"/>
        <v>11886.553295396294</v>
      </c>
      <c r="L155" s="1514">
        <f t="shared" si="97"/>
        <v>0</v>
      </c>
      <c r="M155" s="1513">
        <f t="shared" si="124"/>
        <v>11886.553295396294</v>
      </c>
      <c r="N155" s="1456">
        <f t="shared" si="130"/>
        <v>0.5</v>
      </c>
      <c r="O155" s="530">
        <f t="shared" si="98"/>
        <v>751.91700000000026</v>
      </c>
      <c r="P155" s="1483">
        <f t="shared" si="127"/>
        <v>12638.470295396293</v>
      </c>
      <c r="Q155" s="1366">
        <f t="shared" si="99"/>
        <v>49288.837055447315</v>
      </c>
      <c r="R155" s="1366">
        <f t="shared" si="125"/>
        <v>35600.895385924232</v>
      </c>
      <c r="S155" s="1516">
        <f t="shared" si="100"/>
        <v>1.2616985055417012</v>
      </c>
      <c r="T155" s="135" t="str">
        <f t="shared" si="101"/>
        <v>No</v>
      </c>
      <c r="U155" s="1516">
        <f t="shared" si="102"/>
        <v>1</v>
      </c>
      <c r="V155" s="1541">
        <f t="shared" si="95"/>
        <v>57388.51999889304</v>
      </c>
      <c r="W155" s="1542">
        <f t="shared" si="103"/>
        <v>0.32961379341442587</v>
      </c>
      <c r="X155" s="527">
        <f t="shared" si="104"/>
        <v>21072.194783497216</v>
      </c>
      <c r="Y155" s="1511">
        <f t="shared" si="105"/>
        <v>18090.861812302133</v>
      </c>
      <c r="Z155" s="1511">
        <f t="shared" si="106"/>
        <v>3033.3014163221746</v>
      </c>
      <c r="AA155" s="1511">
        <f t="shared" si="107"/>
        <v>0</v>
      </c>
      <c r="AB155" s="1511">
        <f t="shared" si="108"/>
        <v>15192.161986771516</v>
      </c>
      <c r="AC155" s="1511">
        <f t="shared" si="109"/>
        <v>57388.51999889304</v>
      </c>
      <c r="AD155" s="1556">
        <f t="shared" si="110"/>
        <v>7384.2531139741368</v>
      </c>
      <c r="AE155" s="1506">
        <f t="shared" si="111"/>
        <v>0.36718484435395221</v>
      </c>
      <c r="AF155" s="1506">
        <f t="shared" si="112"/>
        <v>0.31523485555388231</v>
      </c>
      <c r="AG155" s="1506">
        <f t="shared" si="113"/>
        <v>5.2855543519517205E-2</v>
      </c>
      <c r="AH155" s="1506">
        <f t="shared" si="126"/>
        <v>0</v>
      </c>
      <c r="AI155" s="1506">
        <f t="shared" si="114"/>
        <v>0.26472475657264827</v>
      </c>
      <c r="AJ155" s="1543">
        <f t="shared" si="115"/>
        <v>0.99999999999999989</v>
      </c>
      <c r="AK155" s="1557">
        <f t="shared" si="116"/>
        <v>21072.194783497212</v>
      </c>
      <c r="AL155" s="1558">
        <f t="shared" si="117"/>
        <v>0</v>
      </c>
      <c r="AM155" s="1558">
        <f t="shared" si="118"/>
        <v>0</v>
      </c>
      <c r="AN155" s="1558">
        <f t="shared" si="119"/>
        <v>21072.194783497212</v>
      </c>
      <c r="AO155" s="1545">
        <f t="shared" si="120"/>
        <v>0</v>
      </c>
    </row>
    <row r="156" spans="1:41">
      <c r="A156" s="873">
        <f>'Input data'!A136</f>
        <v>2036</v>
      </c>
      <c r="B156" s="1553">
        <f>'Input data'!B136</f>
        <v>69.322999999999993</v>
      </c>
      <c r="C156" s="1552">
        <f>'Input data'!C136</f>
        <v>4325.9699999999993</v>
      </c>
      <c r="D156" s="1554">
        <f>'Input data'!D136</f>
        <v>32285395.803631678</v>
      </c>
      <c r="E156" s="1510">
        <f>'Input data'!J136*C156</f>
        <v>51995.431993867933</v>
      </c>
      <c r="F156" s="1511">
        <f>'Input data'!L136</f>
        <v>84280.827797499616</v>
      </c>
      <c r="G156" s="1559">
        <f t="shared" si="132"/>
        <v>13687.941669523079</v>
      </c>
      <c r="H156" s="1511">
        <f t="shared" si="121"/>
        <v>46445.710104756421</v>
      </c>
      <c r="I156" s="1513">
        <f t="shared" si="96"/>
        <v>32285.39580363168</v>
      </c>
      <c r="J156" s="1456">
        <f t="shared" si="131"/>
        <v>0.4</v>
      </c>
      <c r="K156" s="1514">
        <f>(I156)*J156-(I156)*$J$137</f>
        <v>10927.065220089276</v>
      </c>
      <c r="L156" s="1514">
        <f t="shared" si="97"/>
        <v>0</v>
      </c>
      <c r="M156" s="1513">
        <f t="shared" si="124"/>
        <v>10927.065220089276</v>
      </c>
      <c r="N156" s="1456">
        <f t="shared" si="130"/>
        <v>0.5</v>
      </c>
      <c r="O156" s="530">
        <f t="shared" si="98"/>
        <v>751.91700000000026</v>
      </c>
      <c r="P156" s="1483">
        <f t="shared" si="127"/>
        <v>11678.982220089276</v>
      </c>
      <c r="Q156" s="1366">
        <f t="shared" si="99"/>
        <v>48454.669554190223</v>
      </c>
      <c r="R156" s="1366">
        <f t="shared" si="125"/>
        <v>34766.72788466714</v>
      </c>
      <c r="S156" s="1516">
        <f t="shared" si="100"/>
        <v>1.1954135192361053</v>
      </c>
      <c r="T156" s="135" t="str">
        <f t="shared" si="101"/>
        <v>No</v>
      </c>
      <c r="U156" s="1516">
        <f t="shared" si="102"/>
        <v>1</v>
      </c>
      <c r="V156" s="1541">
        <f t="shared" si="95"/>
        <v>55197.395725488401</v>
      </c>
      <c r="W156" s="1542">
        <f t="shared" si="103"/>
        <v>0.34507767462713557</v>
      </c>
      <c r="X156" s="527">
        <f t="shared" si="104"/>
        <v>19371.237482179007</v>
      </c>
      <c r="Y156" s="1511">
        <f t="shared" si="105"/>
        <v>17077.855866730344</v>
      </c>
      <c r="Z156" s="1511">
        <f t="shared" si="106"/>
        <v>3101.5644156492149</v>
      </c>
      <c r="AA156" s="1511">
        <f t="shared" si="107"/>
        <v>0</v>
      </c>
      <c r="AB156" s="1511">
        <f t="shared" si="108"/>
        <v>15646.737960929839</v>
      </c>
      <c r="AC156" s="1511">
        <f t="shared" si="109"/>
        <v>55197.395725488401</v>
      </c>
      <c r="AD156" s="1556">
        <f t="shared" si="110"/>
        <v>5683.2958126559279</v>
      </c>
      <c r="AE156" s="1506">
        <f t="shared" si="111"/>
        <v>0.35094477244030531</v>
      </c>
      <c r="AF156" s="1506">
        <f t="shared" si="112"/>
        <v>0.30939604382176195</v>
      </c>
      <c r="AG156" s="1506">
        <f t="shared" si="113"/>
        <v>5.6190412154119275E-2</v>
      </c>
      <c r="AH156" s="1506">
        <f t="shared" si="126"/>
        <v>0</v>
      </c>
      <c r="AI156" s="1506">
        <f t="shared" si="114"/>
        <v>0.28346877158381356</v>
      </c>
      <c r="AJ156" s="1543">
        <f t="shared" si="115"/>
        <v>1</v>
      </c>
      <c r="AK156" s="1557">
        <f t="shared" si="116"/>
        <v>19371.237482179007</v>
      </c>
      <c r="AL156" s="1558">
        <f t="shared" si="117"/>
        <v>0</v>
      </c>
      <c r="AM156" s="1558">
        <f t="shared" si="118"/>
        <v>0</v>
      </c>
      <c r="AN156" s="1558">
        <f t="shared" si="119"/>
        <v>19371.237482179007</v>
      </c>
      <c r="AO156" s="1545">
        <f t="shared" si="120"/>
        <v>0</v>
      </c>
    </row>
    <row r="157" spans="1:41">
      <c r="A157" s="873">
        <f>'Input data'!A137</f>
        <v>2037</v>
      </c>
      <c r="B157" s="1553">
        <f>'Input data'!B137</f>
        <v>69.83</v>
      </c>
      <c r="C157" s="1552">
        <f>'Input data'!C137</f>
        <v>4457.0000000000018</v>
      </c>
      <c r="D157" s="1554">
        <f>'Input data'!D137</f>
        <v>29450466.968101323</v>
      </c>
      <c r="E157" s="1510">
        <f>'Input data'!J137*C157</f>
        <v>53570.329983025658</v>
      </c>
      <c r="F157" s="1511">
        <f>'Input data'!L137</f>
        <v>83020.796951126977</v>
      </c>
      <c r="G157" s="1559">
        <f t="shared" si="132"/>
        <v>13687.941669523079</v>
      </c>
      <c r="H157" s="1511">
        <f t="shared" si="121"/>
        <v>44688.952407173274</v>
      </c>
      <c r="I157" s="1513">
        <f t="shared" si="96"/>
        <v>29450.466968101322</v>
      </c>
      <c r="J157" s="1456">
        <f t="shared" si="131"/>
        <v>0.4</v>
      </c>
      <c r="K157" s="1514">
        <f t="shared" si="123"/>
        <v>9967.5771447822535</v>
      </c>
      <c r="L157" s="1514">
        <f t="shared" si="97"/>
        <v>0</v>
      </c>
      <c r="M157" s="1513">
        <f t="shared" si="124"/>
        <v>9967.5771447822535</v>
      </c>
      <c r="N157" s="1456">
        <f t="shared" si="130"/>
        <v>0.5</v>
      </c>
      <c r="O157" s="530">
        <f t="shared" si="98"/>
        <v>751.91700000000026</v>
      </c>
      <c r="P157" s="1483">
        <f t="shared" si="127"/>
        <v>10719.494144782253</v>
      </c>
      <c r="Q157" s="1366">
        <f t="shared" si="99"/>
        <v>47657.3999319141</v>
      </c>
      <c r="R157" s="1366">
        <f t="shared" si="125"/>
        <v>33969.458262391025</v>
      </c>
      <c r="S157" s="1516">
        <f t="shared" si="100"/>
        <v>1.1328016343149407</v>
      </c>
      <c r="T157" s="135" t="str">
        <f t="shared" si="101"/>
        <v>No</v>
      </c>
      <c r="U157" s="1516">
        <f t="shared" si="102"/>
        <v>1</v>
      </c>
      <c r="V157" s="1541">
        <f t="shared" si="95"/>
        <v>53033.677200073682</v>
      </c>
      <c r="W157" s="1542">
        <f t="shared" si="103"/>
        <v>0.36120009506420703</v>
      </c>
      <c r="X157" s="527">
        <f t="shared" si="104"/>
        <v>17670.280180860791</v>
      </c>
      <c r="Y157" s="1511">
        <f t="shared" si="105"/>
        <v>16069.999236079195</v>
      </c>
      <c r="Z157" s="1511">
        <f t="shared" si="106"/>
        <v>3172.7332635313132</v>
      </c>
      <c r="AA157" s="1511">
        <f t="shared" si="107"/>
        <v>0</v>
      </c>
      <c r="AB157" s="1511">
        <f t="shared" si="108"/>
        <v>16120.664519602384</v>
      </c>
      <c r="AC157" s="1511">
        <f t="shared" si="109"/>
        <v>53033.677200073682</v>
      </c>
      <c r="AD157" s="1556">
        <f t="shared" si="110"/>
        <v>3982.3385113377117</v>
      </c>
      <c r="AE157" s="1506">
        <f t="shared" si="111"/>
        <v>0.33318979776186897</v>
      </c>
      <c r="AF157" s="1506">
        <f t="shared" si="112"/>
        <v>0.30301499131304566</v>
      </c>
      <c r="AG157" s="1506">
        <f t="shared" si="113"/>
        <v>5.9824877908464268E-2</v>
      </c>
      <c r="AH157" s="1506">
        <f t="shared" si="126"/>
        <v>0</v>
      </c>
      <c r="AI157" s="1506">
        <f t="shared" si="114"/>
        <v>0.30397033301662113</v>
      </c>
      <c r="AJ157" s="1543">
        <f t="shared" si="115"/>
        <v>1</v>
      </c>
      <c r="AK157" s="1557">
        <f t="shared" si="116"/>
        <v>17670.280180860791</v>
      </c>
      <c r="AL157" s="1558">
        <f t="shared" si="117"/>
        <v>0</v>
      </c>
      <c r="AM157" s="1558">
        <f t="shared" si="118"/>
        <v>0</v>
      </c>
      <c r="AN157" s="1558">
        <f t="shared" si="119"/>
        <v>17670.280180860791</v>
      </c>
      <c r="AO157" s="1545">
        <f t="shared" si="120"/>
        <v>0</v>
      </c>
    </row>
    <row r="158" spans="1:41">
      <c r="A158" s="873">
        <f>'Input data'!A138</f>
        <v>2038</v>
      </c>
      <c r="B158" s="1553">
        <f>'Input data'!B138</f>
        <v>70.341999999999999</v>
      </c>
      <c r="C158" s="1552">
        <f>'Input data'!C138</f>
        <v>4590.03</v>
      </c>
      <c r="D158" s="1554">
        <f>'Input data'!D138</f>
        <v>26615538.132570967</v>
      </c>
      <c r="E158" s="1510">
        <f>'Input data'!J138*C158</f>
        <v>55169.266711237862</v>
      </c>
      <c r="F158" s="1511">
        <f>'Input data'!L138</f>
        <v>81784.80484380883</v>
      </c>
      <c r="G158" s="1511">
        <f t="shared" si="132"/>
        <v>13687.941669523079</v>
      </c>
      <c r="H158" s="1511">
        <f t="shared" si="121"/>
        <v>42945.988309209148</v>
      </c>
      <c r="I158" s="1513">
        <f t="shared" si="96"/>
        <v>26615.538132570968</v>
      </c>
      <c r="J158" s="1456">
        <f t="shared" si="131"/>
        <v>0.4</v>
      </c>
      <c r="K158" s="1514">
        <f t="shared" si="123"/>
        <v>9008.0890694752325</v>
      </c>
      <c r="L158" s="1514">
        <f t="shared" si="97"/>
        <v>0</v>
      </c>
      <c r="M158" s="1513">
        <f t="shared" si="124"/>
        <v>9008.0890694752325</v>
      </c>
      <c r="N158" s="1456">
        <f t="shared" si="130"/>
        <v>0.5</v>
      </c>
      <c r="O158" s="530">
        <f t="shared" si="98"/>
        <v>751.91700000000026</v>
      </c>
      <c r="P158" s="1483">
        <f t="shared" si="127"/>
        <v>9760.0060694752319</v>
      </c>
      <c r="Q158" s="1366">
        <f t="shared" si="99"/>
        <v>46873.923909256991</v>
      </c>
      <c r="R158" s="1366">
        <f t="shared" si="125"/>
        <v>33185.982239733916</v>
      </c>
      <c r="S158" s="1516">
        <f t="shared" si="100"/>
        <v>1.0738201152581126</v>
      </c>
      <c r="T158" s="135" t="str">
        <f t="shared" si="101"/>
        <v>No</v>
      </c>
      <c r="U158" s="1516">
        <f t="shared" si="102"/>
        <v>1</v>
      </c>
      <c r="V158" s="1541">
        <f t="shared" si="95"/>
        <v>50880.203814094421</v>
      </c>
      <c r="W158" s="1542">
        <f t="shared" si="103"/>
        <v>0.37787705294076901</v>
      </c>
      <c r="X158" s="527">
        <f t="shared" si="104"/>
        <v>15969.32287954258</v>
      </c>
      <c r="Y158" s="1511">
        <f t="shared" si="105"/>
        <v>15064.067582968466</v>
      </c>
      <c r="Z158" s="1511">
        <f t="shared" si="106"/>
        <v>3244.988409938665</v>
      </c>
      <c r="AA158" s="1511">
        <f t="shared" si="107"/>
        <v>0</v>
      </c>
      <c r="AB158" s="1511">
        <f t="shared" si="108"/>
        <v>16601.824941644718</v>
      </c>
      <c r="AC158" s="1511">
        <f t="shared" si="109"/>
        <v>50880.203814094421</v>
      </c>
      <c r="AD158" s="1556">
        <f t="shared" si="110"/>
        <v>2281.3812100195009</v>
      </c>
      <c r="AE158" s="1506">
        <f t="shared" si="111"/>
        <v>0.313861220719381</v>
      </c>
      <c r="AF158" s="1506">
        <f t="shared" si="112"/>
        <v>0.29606932468292396</v>
      </c>
      <c r="AG158" s="1506">
        <f t="shared" si="113"/>
        <v>6.3777032454413338E-2</v>
      </c>
      <c r="AH158" s="1506">
        <f t="shared" si="126"/>
        <v>0</v>
      </c>
      <c r="AI158" s="1506">
        <f t="shared" si="114"/>
        <v>0.32629242214328191</v>
      </c>
      <c r="AJ158" s="1543">
        <f t="shared" si="115"/>
        <v>1.0000000000000002</v>
      </c>
      <c r="AK158" s="1557">
        <f t="shared" si="116"/>
        <v>15969.32287954258</v>
      </c>
      <c r="AL158" s="1558">
        <f t="shared" si="117"/>
        <v>0</v>
      </c>
      <c r="AM158" s="1558">
        <f t="shared" si="118"/>
        <v>0</v>
      </c>
      <c r="AN158" s="1558">
        <f t="shared" si="119"/>
        <v>15969.32287954258</v>
      </c>
      <c r="AO158" s="1545">
        <f t="shared" si="120"/>
        <v>0</v>
      </c>
    </row>
    <row r="159" spans="1:41">
      <c r="A159" s="873">
        <f>'Input data'!A139</f>
        <v>2039</v>
      </c>
      <c r="B159" s="1553">
        <f>'Input data'!B139</f>
        <v>70.856999999999999</v>
      </c>
      <c r="C159" s="1552">
        <f>'Input data'!C139</f>
        <v>4728.5300000000007</v>
      </c>
      <c r="D159" s="1554">
        <f>'Input data'!D139</f>
        <v>23780609.297040608</v>
      </c>
      <c r="E159" s="1510">
        <f>'Input data'!J139*C159</f>
        <v>56833.949390764246</v>
      </c>
      <c r="F159" s="1511">
        <f>'Input data'!L139</f>
        <v>80614.558687804849</v>
      </c>
      <c r="G159" s="1511">
        <f t="shared" si="132"/>
        <v>13687.941669523079</v>
      </c>
      <c r="H159" s="1511">
        <f t="shared" si="121"/>
        <v>41240.749706203133</v>
      </c>
      <c r="I159" s="1513">
        <f t="shared" si="96"/>
        <v>23780.609297040606</v>
      </c>
      <c r="J159" s="1456">
        <f t="shared" si="131"/>
        <v>0.4</v>
      </c>
      <c r="K159" s="1514">
        <f t="shared" si="123"/>
        <v>8048.6009941682096</v>
      </c>
      <c r="L159" s="1514">
        <f t="shared" si="97"/>
        <v>0</v>
      </c>
      <c r="M159" s="1513">
        <f t="shared" si="124"/>
        <v>8048.6009941682096</v>
      </c>
      <c r="N159" s="1456">
        <f t="shared" si="130"/>
        <v>0.5</v>
      </c>
      <c r="O159" s="530">
        <f t="shared" si="98"/>
        <v>751.91700000000026</v>
      </c>
      <c r="P159" s="1483">
        <f t="shared" si="127"/>
        <v>8800.517994168209</v>
      </c>
      <c r="Q159" s="1366">
        <f t="shared" si="99"/>
        <v>46128.173381558001</v>
      </c>
      <c r="R159" s="1366">
        <f t="shared" si="125"/>
        <v>32440.231712034922</v>
      </c>
      <c r="S159" s="1516">
        <f t="shared" si="100"/>
        <v>1.0182180605822913</v>
      </c>
      <c r="T159" s="135" t="str">
        <f t="shared" si="101"/>
        <v>No</v>
      </c>
      <c r="U159" s="1516">
        <f t="shared" si="102"/>
        <v>1</v>
      </c>
      <c r="V159" s="1541">
        <f t="shared" si="95"/>
        <v>48754.750884471221</v>
      </c>
      <c r="W159" s="1542">
        <f t="shared" si="103"/>
        <v>0.39521158860047567</v>
      </c>
      <c r="X159" s="527">
        <f t="shared" si="104"/>
        <v>14268.365578224364</v>
      </c>
      <c r="Y159" s="1511">
        <f t="shared" si="105"/>
        <v>14063.400743430801</v>
      </c>
      <c r="Z159" s="1511">
        <f t="shared" si="106"/>
        <v>3320.2145828125908</v>
      </c>
      <c r="AA159" s="1511">
        <f t="shared" si="107"/>
        <v>0</v>
      </c>
      <c r="AB159" s="1511">
        <f t="shared" si="108"/>
        <v>17102.769980003464</v>
      </c>
      <c r="AC159" s="1511">
        <f t="shared" si="109"/>
        <v>48754.750884471221</v>
      </c>
      <c r="AD159" s="1556">
        <f t="shared" si="110"/>
        <v>580.42390870128474</v>
      </c>
      <c r="AE159" s="1506">
        <f t="shared" si="111"/>
        <v>0.292655901617353</v>
      </c>
      <c r="AF159" s="1506">
        <f t="shared" si="112"/>
        <v>0.28845190444630303</v>
      </c>
      <c r="AG159" s="1506">
        <f t="shared" si="113"/>
        <v>6.8100329149053368E-2</v>
      </c>
      <c r="AH159" s="1506">
        <f t="shared" si="126"/>
        <v>0</v>
      </c>
      <c r="AI159" s="1506">
        <f t="shared" si="114"/>
        <v>0.35079186478729057</v>
      </c>
      <c r="AJ159" s="1543">
        <f t="shared" si="115"/>
        <v>1</v>
      </c>
      <c r="AK159" s="1557">
        <f t="shared" si="116"/>
        <v>14268.365578224362</v>
      </c>
      <c r="AL159" s="1558">
        <f t="shared" si="117"/>
        <v>0</v>
      </c>
      <c r="AM159" s="1558">
        <f t="shared" si="118"/>
        <v>0</v>
      </c>
      <c r="AN159" s="1558">
        <f t="shared" si="119"/>
        <v>14268.365578224362</v>
      </c>
      <c r="AO159" s="1545">
        <f t="shared" si="120"/>
        <v>0</v>
      </c>
    </row>
    <row r="160" spans="1:41">
      <c r="A160" s="873">
        <f>'Input data'!A140</f>
        <v>2040</v>
      </c>
      <c r="B160" s="1553">
        <f>'Input data'!B140</f>
        <v>71.375</v>
      </c>
      <c r="C160" s="1552">
        <f>'Input data'!C140</f>
        <v>4875.51</v>
      </c>
      <c r="D160" s="1554">
        <f>'Input data'!D140</f>
        <v>20945680.461510252</v>
      </c>
      <c r="E160" s="1510">
        <f>'Input data'!J140*C160</f>
        <v>58600.556323881829</v>
      </c>
      <c r="F160" s="1511">
        <f>'Input data'!L140</f>
        <v>79546.236785392073</v>
      </c>
      <c r="G160" s="1511">
        <f t="shared" si="132"/>
        <v>13687.941669523079</v>
      </c>
      <c r="H160" s="1511">
        <f t="shared" si="121"/>
        <v>39593.995965581897</v>
      </c>
      <c r="I160" s="1513">
        <f t="shared" si="96"/>
        <v>20945.680461510252</v>
      </c>
      <c r="J160" s="1456">
        <f t="shared" si="131"/>
        <v>0.4</v>
      </c>
      <c r="K160" s="1514">
        <f t="shared" si="123"/>
        <v>7089.1129188611885</v>
      </c>
      <c r="L160" s="1514">
        <f t="shared" si="97"/>
        <v>0</v>
      </c>
      <c r="M160" s="1513">
        <f t="shared" si="124"/>
        <v>7089.1129188611885</v>
      </c>
      <c r="N160" s="1456">
        <f t="shared" si="130"/>
        <v>0.5</v>
      </c>
      <c r="O160" s="530">
        <f t="shared" si="98"/>
        <v>751.91700000000026</v>
      </c>
      <c r="P160" s="1483">
        <f t="shared" si="127"/>
        <v>7841.0299188611889</v>
      </c>
      <c r="Q160" s="1366">
        <f t="shared" si="99"/>
        <v>45440.907716243782</v>
      </c>
      <c r="R160" s="1366">
        <f t="shared" si="125"/>
        <v>31752.966046720703</v>
      </c>
      <c r="S160" s="1516">
        <f t="shared" si="100"/>
        <v>0.96591377821869318</v>
      </c>
      <c r="T160" s="135" t="str">
        <f t="shared" si="101"/>
        <v>Yes</v>
      </c>
      <c r="U160" s="1516">
        <f t="shared" si="102"/>
        <v>0.96591377821869318</v>
      </c>
      <c r="V160" s="1541">
        <f t="shared" si="95"/>
        <v>47793.270738671388</v>
      </c>
      <c r="W160" s="1542">
        <f t="shared" si="103"/>
        <v>0.39917621913890244</v>
      </c>
      <c r="X160" s="527">
        <f t="shared" si="104"/>
        <v>13687.941669523079</v>
      </c>
      <c r="Y160" s="1511">
        <f t="shared" si="105"/>
        <v>13070.895808664543</v>
      </c>
      <c r="Z160" s="1511">
        <f t="shared" si="106"/>
        <v>3400.0466614335983</v>
      </c>
      <c r="AA160" s="1511">
        <f t="shared" si="107"/>
        <v>0</v>
      </c>
      <c r="AB160" s="1511">
        <f t="shared" si="108"/>
        <v>17634.386599050165</v>
      </c>
      <c r="AC160" s="1511">
        <f t="shared" si="109"/>
        <v>47793.270738671388</v>
      </c>
      <c r="AD160" s="1556">
        <f t="shared" si="110"/>
        <v>0</v>
      </c>
      <c r="AE160" s="1506">
        <f t="shared" si="111"/>
        <v>0.28639893143884865</v>
      </c>
      <c r="AF160" s="1506">
        <f t="shared" si="112"/>
        <v>0.27348820464987289</v>
      </c>
      <c r="AG160" s="1506">
        <f t="shared" si="113"/>
        <v>7.1140698447375542E-2</v>
      </c>
      <c r="AH160" s="1506">
        <f t="shared" si="126"/>
        <v>0</v>
      </c>
      <c r="AI160" s="1506">
        <f t="shared" si="114"/>
        <v>0.36897216546390282</v>
      </c>
      <c r="AJ160" s="1543">
        <f t="shared" si="115"/>
        <v>1</v>
      </c>
      <c r="AK160" s="1557">
        <f t="shared" si="116"/>
        <v>12567.40827690615</v>
      </c>
      <c r="AL160" s="1558">
        <f t="shared" si="117"/>
        <v>1066.0751045622951</v>
      </c>
      <c r="AM160" s="1558">
        <f t="shared" si="118"/>
        <v>54.458288054632654</v>
      </c>
      <c r="AN160" s="1558">
        <f t="shared" si="119"/>
        <v>13687.941669523078</v>
      </c>
      <c r="AO160" s="1545">
        <f t="shared" si="120"/>
        <v>0</v>
      </c>
    </row>
    <row r="161" spans="1:41">
      <c r="A161" s="873">
        <f>'Input data'!A141</f>
        <v>2041</v>
      </c>
      <c r="B161" s="1553">
        <f>'Input data'!B141</f>
        <v>71.819000000000003</v>
      </c>
      <c r="C161" s="1552">
        <f>'Input data'!C141</f>
        <v>5028.54</v>
      </c>
      <c r="D161" s="1554">
        <f>'Input data'!D141</f>
        <v>19664699.523913871</v>
      </c>
      <c r="E161" s="1510">
        <f>'Input data'!J141*C161</f>
        <v>60439.880442639384</v>
      </c>
      <c r="F161" s="1511">
        <f>'Input data'!L141</f>
        <v>80104.579966553254</v>
      </c>
      <c r="G161" s="1511">
        <f t="shared" si="132"/>
        <v>13687.941669523079</v>
      </c>
      <c r="H161" s="1511">
        <f t="shared" si="121"/>
        <v>39447.27378272971</v>
      </c>
      <c r="I161" s="1513">
        <f t="shared" si="96"/>
        <v>19664.699523913871</v>
      </c>
      <c r="J161" s="1456">
        <f t="shared" si="131"/>
        <v>0.4</v>
      </c>
      <c r="K161" s="1514">
        <f t="shared" si="123"/>
        <v>6655.5620237152089</v>
      </c>
      <c r="L161" s="1514">
        <f t="shared" si="97"/>
        <v>0</v>
      </c>
      <c r="M161" s="1513">
        <f t="shared" si="124"/>
        <v>6655.5620237152089</v>
      </c>
      <c r="N161" s="1456">
        <f t="shared" si="130"/>
        <v>0.5</v>
      </c>
      <c r="O161" s="530">
        <f t="shared" si="98"/>
        <v>751.91700000000026</v>
      </c>
      <c r="P161" s="1483">
        <f t="shared" si="127"/>
        <v>7407.4790237152092</v>
      </c>
      <c r="Q161" s="1366">
        <f t="shared" si="99"/>
        <v>45727.736428537573</v>
      </c>
      <c r="R161" s="1366">
        <f t="shared" si="125"/>
        <v>32039.794759014494</v>
      </c>
      <c r="S161" s="1516">
        <f t="shared" si="100"/>
        <v>0.94432118269238108</v>
      </c>
      <c r="T161" s="135" t="str">
        <f t="shared" si="101"/>
        <v>Yes</v>
      </c>
      <c r="U161" s="1516">
        <f t="shared" si="102"/>
        <v>0.94432118269238108</v>
      </c>
      <c r="V161" s="1541">
        <f t="shared" si="95"/>
        <v>48064.785207538771</v>
      </c>
      <c r="W161" s="1542">
        <f t="shared" si="103"/>
        <v>0.39997456790101549</v>
      </c>
      <c r="X161" s="527">
        <f t="shared" si="104"/>
        <v>13687.941669523083</v>
      </c>
      <c r="Y161" s="1511">
        <f t="shared" si="105"/>
        <v>12705.793090131663</v>
      </c>
      <c r="Z161" s="1511">
        <f t="shared" si="106"/>
        <v>3483.1647930935037</v>
      </c>
      <c r="AA161" s="1511">
        <f t="shared" si="107"/>
        <v>0</v>
      </c>
      <c r="AB161" s="1511">
        <f t="shared" si="108"/>
        <v>18187.88565479052</v>
      </c>
      <c r="AC161" s="1511">
        <f t="shared" si="109"/>
        <v>48064.785207538771</v>
      </c>
      <c r="AD161" s="1556">
        <f t="shared" si="110"/>
        <v>0</v>
      </c>
      <c r="AE161" s="1506">
        <f t="shared" si="111"/>
        <v>0.2847810847467635</v>
      </c>
      <c r="AF161" s="1506">
        <f t="shared" si="112"/>
        <v>0.26434723540882088</v>
      </c>
      <c r="AG161" s="1506">
        <f t="shared" si="113"/>
        <v>7.246812355560435E-2</v>
      </c>
      <c r="AH161" s="1506">
        <f t="shared" si="126"/>
        <v>0</v>
      </c>
      <c r="AI161" s="1506">
        <f t="shared" si="114"/>
        <v>0.37840355628881123</v>
      </c>
      <c r="AJ161" s="1543">
        <f t="shared" si="115"/>
        <v>1</v>
      </c>
      <c r="AK161" s="1557">
        <f t="shared" si="116"/>
        <v>11798.819714348321</v>
      </c>
      <c r="AL161" s="1558">
        <f t="shared" si="117"/>
        <v>1796.0598126867446</v>
      </c>
      <c r="AM161" s="1558">
        <f t="shared" si="118"/>
        <v>93.062142488016335</v>
      </c>
      <c r="AN161" s="1558">
        <f t="shared" si="119"/>
        <v>13687.941669523081</v>
      </c>
      <c r="AO161" s="1545">
        <f t="shared" si="120"/>
        <v>0</v>
      </c>
    </row>
    <row r="162" spans="1:41">
      <c r="A162" s="873">
        <f>'Input data'!A142</f>
        <v>2042</v>
      </c>
      <c r="B162" s="1553">
        <f>'Input data'!B142</f>
        <v>72.265000000000001</v>
      </c>
      <c r="C162" s="1552">
        <f>'Input data'!C142</f>
        <v>5188.1000000000004</v>
      </c>
      <c r="D162" s="1554">
        <f>'Input data'!D142</f>
        <v>18383718.586317491</v>
      </c>
      <c r="E162" s="1510">
        <f>'Input data'!J142*C162</f>
        <v>62357.691044409985</v>
      </c>
      <c r="F162" s="1511">
        <f>'Input data'!L142</f>
        <v>80741.409630727474</v>
      </c>
      <c r="G162" s="1511">
        <f t="shared" si="132"/>
        <v>13687.941669523079</v>
      </c>
      <c r="H162" s="1511">
        <f t="shared" si="121"/>
        <v>39345.587702633726</v>
      </c>
      <c r="I162" s="1513">
        <f t="shared" si="96"/>
        <v>18383.718586317489</v>
      </c>
      <c r="J162" s="1456">
        <f t="shared" si="131"/>
        <v>0.4</v>
      </c>
      <c r="K162" s="1514">
        <f t="shared" si="123"/>
        <v>6222.0111285692301</v>
      </c>
      <c r="L162" s="1514">
        <f t="shared" si="97"/>
        <v>0</v>
      </c>
      <c r="M162" s="1513">
        <f t="shared" si="124"/>
        <v>6222.0111285692301</v>
      </c>
      <c r="N162" s="1456">
        <f t="shared" si="130"/>
        <v>0.5</v>
      </c>
      <c r="O162" s="530">
        <f t="shared" si="98"/>
        <v>751.91700000000026</v>
      </c>
      <c r="P162" s="1483">
        <f t="shared" si="127"/>
        <v>6973.9281285692305</v>
      </c>
      <c r="Q162" s="1366">
        <f t="shared" si="99"/>
        <v>46059.601243587575</v>
      </c>
      <c r="R162" s="1366">
        <f t="shared" si="125"/>
        <v>32371.659574064495</v>
      </c>
      <c r="S162" s="1516">
        <f t="shared" si="100"/>
        <v>0.92412908051820908</v>
      </c>
      <c r="T162" s="135" t="str">
        <f t="shared" si="101"/>
        <v>Yes</v>
      </c>
      <c r="U162" s="1516">
        <f t="shared" si="102"/>
        <v>0.92412908051820908</v>
      </c>
      <c r="V162" s="1541">
        <f t="shared" si="95"/>
        <v>48369.75005666299</v>
      </c>
      <c r="W162" s="1542">
        <f t="shared" si="103"/>
        <v>0.40093007692232452</v>
      </c>
      <c r="X162" s="527">
        <f t="shared" si="104"/>
        <v>13687.941669523083</v>
      </c>
      <c r="Y162" s="1511">
        <f t="shared" si="105"/>
        <v>12346.975423268272</v>
      </c>
      <c r="Z162" s="1511">
        <f t="shared" si="106"/>
        <v>3569.829689438367</v>
      </c>
      <c r="AA162" s="1511">
        <f t="shared" si="107"/>
        <v>0</v>
      </c>
      <c r="AB162" s="1511">
        <f t="shared" si="108"/>
        <v>18765.003274433271</v>
      </c>
      <c r="AC162" s="1511">
        <f t="shared" si="109"/>
        <v>48369.75005666299</v>
      </c>
      <c r="AD162" s="1556">
        <f t="shared" si="110"/>
        <v>0</v>
      </c>
      <c r="AE162" s="1506">
        <f t="shared" si="111"/>
        <v>0.28298557783507822</v>
      </c>
      <c r="AF162" s="1506">
        <f t="shared" si="112"/>
        <v>0.25526233666298348</v>
      </c>
      <c r="AG162" s="1506">
        <f t="shared" si="113"/>
        <v>7.3802938515424868E-2</v>
      </c>
      <c r="AH162" s="1506">
        <f t="shared" si="126"/>
        <v>0</v>
      </c>
      <c r="AI162" s="1506">
        <f t="shared" si="114"/>
        <v>0.3879491469865135</v>
      </c>
      <c r="AJ162" s="1543">
        <f t="shared" si="115"/>
        <v>1</v>
      </c>
      <c r="AK162" s="1557">
        <f t="shared" si="116"/>
        <v>11030.231151790493</v>
      </c>
      <c r="AL162" s="1558">
        <f t="shared" si="117"/>
        <v>2525.0650483720647</v>
      </c>
      <c r="AM162" s="1558">
        <f t="shared" si="118"/>
        <v>132.64546936052548</v>
      </c>
      <c r="AN162" s="1558">
        <f t="shared" si="119"/>
        <v>13687.941669523081</v>
      </c>
      <c r="AO162" s="1545">
        <f t="shared" si="120"/>
        <v>0</v>
      </c>
    </row>
    <row r="163" spans="1:41">
      <c r="A163" s="873">
        <f>'Input data'!A143</f>
        <v>2043</v>
      </c>
      <c r="B163" s="1553">
        <f>'Input data'!B143</f>
        <v>72.713999999999999</v>
      </c>
      <c r="C163" s="1552">
        <f>'Input data'!C143</f>
        <v>5353.7899999999991</v>
      </c>
      <c r="D163" s="1554">
        <f>'Input data'!D143</f>
        <v>17102737.64872111</v>
      </c>
      <c r="E163" s="1510">
        <f>'Input data'!J143*C163</f>
        <v>64349.180381382714</v>
      </c>
      <c r="F163" s="1511">
        <f>'Input data'!L143</f>
        <v>81451.918030103829</v>
      </c>
      <c r="G163" s="1511">
        <f t="shared" si="132"/>
        <v>13687.941669523079</v>
      </c>
      <c r="H163" s="1511">
        <f t="shared" si="121"/>
        <v>39286.179005370126</v>
      </c>
      <c r="I163" s="1513">
        <f t="shared" si="96"/>
        <v>17102.737648721111</v>
      </c>
      <c r="J163" s="1456">
        <f t="shared" si="131"/>
        <v>0.4</v>
      </c>
      <c r="K163" s="1514">
        <f t="shared" si="123"/>
        <v>5788.4602334232513</v>
      </c>
      <c r="L163" s="1514">
        <f t="shared" si="97"/>
        <v>0</v>
      </c>
      <c r="M163" s="1513">
        <f t="shared" si="124"/>
        <v>5788.4602334232513</v>
      </c>
      <c r="N163" s="1456">
        <f t="shared" si="130"/>
        <v>0.5</v>
      </c>
      <c r="O163" s="530">
        <f t="shared" si="98"/>
        <v>751.91700000000026</v>
      </c>
      <c r="P163" s="1483">
        <f t="shared" si="127"/>
        <v>6540.3772334232517</v>
      </c>
      <c r="Q163" s="1366">
        <f t="shared" si="99"/>
        <v>46433.743441469953</v>
      </c>
      <c r="R163" s="1366">
        <f t="shared" si="125"/>
        <v>32745.801771946873</v>
      </c>
      <c r="S163" s="1516">
        <f t="shared" si="100"/>
        <v>0.90527785227939028</v>
      </c>
      <c r="T163" s="135" t="str">
        <f t="shared" si="101"/>
        <v>Yes</v>
      </c>
      <c r="U163" s="1516">
        <f t="shared" si="102"/>
        <v>0.90527785227939028</v>
      </c>
      <c r="V163" s="1541">
        <f t="shared" si="95"/>
        <v>48706.116258156966</v>
      </c>
      <c r="W163" s="1542">
        <f t="shared" si="103"/>
        <v>0.40202615928386531</v>
      </c>
      <c r="X163" s="527">
        <f t="shared" si="104"/>
        <v>13687.941669523079</v>
      </c>
      <c r="Y163" s="1511">
        <f t="shared" si="105"/>
        <v>11994.057812566287</v>
      </c>
      <c r="Z163" s="1511">
        <f t="shared" si="106"/>
        <v>3659.8240907631371</v>
      </c>
      <c r="AA163" s="1511">
        <f t="shared" si="107"/>
        <v>0</v>
      </c>
      <c r="AB163" s="1511">
        <f t="shared" si="108"/>
        <v>19364.292685304463</v>
      </c>
      <c r="AC163" s="1511">
        <f t="shared" si="109"/>
        <v>48706.116258156966</v>
      </c>
      <c r="AD163" s="1556">
        <f t="shared" si="110"/>
        <v>0</v>
      </c>
      <c r="AE163" s="1506">
        <f t="shared" si="111"/>
        <v>0.28103126919364502</v>
      </c>
      <c r="AF163" s="1506">
        <f t="shared" si="112"/>
        <v>0.24625362755252744</v>
      </c>
      <c r="AG163" s="1506">
        <f t="shared" si="113"/>
        <v>7.5140955016100561E-2</v>
      </c>
      <c r="AH163" s="1506">
        <f t="shared" si="126"/>
        <v>0</v>
      </c>
      <c r="AI163" s="1506">
        <f t="shared" si="114"/>
        <v>0.39757414823772702</v>
      </c>
      <c r="AJ163" s="1543">
        <f t="shared" si="115"/>
        <v>1</v>
      </c>
      <c r="AK163" s="1557">
        <f t="shared" si="116"/>
        <v>10261.642589232666</v>
      </c>
      <c r="AL163" s="1558">
        <f t="shared" si="117"/>
        <v>3253.1325080500769</v>
      </c>
      <c r="AM163" s="1558">
        <f t="shared" si="118"/>
        <v>173.1665722403344</v>
      </c>
      <c r="AN163" s="1558">
        <f t="shared" si="119"/>
        <v>13687.941669523078</v>
      </c>
      <c r="AO163" s="1545">
        <f t="shared" si="120"/>
        <v>0</v>
      </c>
    </row>
    <row r="164" spans="1:41">
      <c r="A164" s="873">
        <f>'Input data'!A144</f>
        <v>2044</v>
      </c>
      <c r="B164" s="1553">
        <f>'Input data'!B144</f>
        <v>73.165000000000006</v>
      </c>
      <c r="C164" s="1552">
        <f>'Input data'!C144</f>
        <v>5526.5000000000018</v>
      </c>
      <c r="D164" s="1554">
        <f>'Input data'!D144</f>
        <v>15821756.711124728</v>
      </c>
      <c r="E164" s="1510">
        <f>'Input data'!J144*C164</f>
        <v>66425.045692436906</v>
      </c>
      <c r="F164" s="1511">
        <f>'Input data'!L144</f>
        <v>82246.80240356164</v>
      </c>
      <c r="G164" s="1511">
        <f t="shared" si="132"/>
        <v>13687.941669523079</v>
      </c>
      <c r="H164" s="1511">
        <f t="shared" si="121"/>
        <v>39275.18584276941</v>
      </c>
      <c r="I164" s="1513">
        <f t="shared" si="96"/>
        <v>15821.756711124728</v>
      </c>
      <c r="J164" s="1456">
        <f t="shared" si="131"/>
        <v>0.4</v>
      </c>
      <c r="K164" s="1514">
        <f t="shared" si="123"/>
        <v>5354.9093382772708</v>
      </c>
      <c r="L164" s="1514">
        <f t="shared" si="97"/>
        <v>0</v>
      </c>
      <c r="M164" s="1513">
        <f t="shared" si="124"/>
        <v>5354.9093382772708</v>
      </c>
      <c r="N164" s="1456">
        <f t="shared" si="130"/>
        <v>0.5</v>
      </c>
      <c r="O164" s="530">
        <f t="shared" si="98"/>
        <v>751.91700000000026</v>
      </c>
      <c r="P164" s="1483">
        <f t="shared" si="127"/>
        <v>6106.8263382772711</v>
      </c>
      <c r="Q164" s="1366">
        <f t="shared" si="99"/>
        <v>46856.301174015214</v>
      </c>
      <c r="R164" s="1366">
        <f t="shared" si="125"/>
        <v>33168.359504492139</v>
      </c>
      <c r="S164" s="1516">
        <f t="shared" si="100"/>
        <v>0.88772689840618302</v>
      </c>
      <c r="T164" s="135" t="str">
        <f t="shared" si="101"/>
        <v>Yes</v>
      </c>
      <c r="U164" s="1516">
        <f t="shared" si="102"/>
        <v>0.88772689840618302</v>
      </c>
      <c r="V164" s="1541">
        <f t="shared" si="95"/>
        <v>49078.442899069501</v>
      </c>
      <c r="W164" s="1542">
        <f t="shared" si="103"/>
        <v>0.40327840761206057</v>
      </c>
      <c r="X164" s="527">
        <f t="shared" si="104"/>
        <v>13687.941669523076</v>
      </c>
      <c r="Y164" s="1511">
        <f t="shared" si="105"/>
        <v>11647.896873031197</v>
      </c>
      <c r="Z164" s="1511">
        <f t="shared" si="106"/>
        <v>3753.6313999115555</v>
      </c>
      <c r="AA164" s="1511">
        <f t="shared" si="107"/>
        <v>0</v>
      </c>
      <c r="AB164" s="1511">
        <f t="shared" si="108"/>
        <v>19988.972956603673</v>
      </c>
      <c r="AC164" s="1511">
        <f t="shared" si="109"/>
        <v>49078.442899069501</v>
      </c>
      <c r="AD164" s="1556">
        <f t="shared" si="110"/>
        <v>0</v>
      </c>
      <c r="AE164" s="1506">
        <f t="shared" si="111"/>
        <v>0.27889926535918258</v>
      </c>
      <c r="AF164" s="1506">
        <f t="shared" si="112"/>
        <v>0.23733224171323566</v>
      </c>
      <c r="AG164" s="1506">
        <f t="shared" si="113"/>
        <v>7.6482283833473497E-2</v>
      </c>
      <c r="AH164" s="1506">
        <f t="shared" si="126"/>
        <v>0</v>
      </c>
      <c r="AI164" s="1506">
        <f t="shared" si="114"/>
        <v>0.40728620909410823</v>
      </c>
      <c r="AJ164" s="1543">
        <f t="shared" si="115"/>
        <v>1</v>
      </c>
      <c r="AK164" s="1557">
        <f t="shared" si="116"/>
        <v>9493.0540266748358</v>
      </c>
      <c r="AL164" s="1558">
        <f t="shared" si="117"/>
        <v>3980.2905861144845</v>
      </c>
      <c r="AM164" s="1558">
        <f t="shared" si="118"/>
        <v>214.59705673375294</v>
      </c>
      <c r="AN164" s="1558">
        <f t="shared" si="119"/>
        <v>13687.941669523074</v>
      </c>
      <c r="AO164" s="1545">
        <f t="shared" si="120"/>
        <v>0</v>
      </c>
    </row>
    <row r="165" spans="1:41">
      <c r="A165" s="873">
        <f>'Input data'!A145</f>
        <v>2045</v>
      </c>
      <c r="B165" s="1553">
        <f>'Input data'!B145</f>
        <v>73.62</v>
      </c>
      <c r="C165" s="1552">
        <f>'Input data'!C145</f>
        <v>5709.93</v>
      </c>
      <c r="D165" s="1554">
        <f>'Input data'!D145</f>
        <v>14540775.773528345</v>
      </c>
      <c r="E165" s="1510">
        <f>'Input data'!J145*C165</f>
        <v>68629.758644823334</v>
      </c>
      <c r="F165" s="1511">
        <f>'Input data'!L145</f>
        <v>83170.534418351686</v>
      </c>
      <c r="G165" s="1511">
        <f t="shared" si="132"/>
        <v>13687.941669523079</v>
      </c>
      <c r="H165" s="1511">
        <f t="shared" si="121"/>
        <v>39338.126374126776</v>
      </c>
      <c r="I165" s="1513">
        <f t="shared" si="96"/>
        <v>14540.775773528345</v>
      </c>
      <c r="J165" s="1456">
        <f t="shared" si="131"/>
        <v>0.4</v>
      </c>
      <c r="K165" s="1514">
        <f t="shared" si="123"/>
        <v>4921.3584431312911</v>
      </c>
      <c r="L165" s="1514">
        <f t="shared" si="97"/>
        <v>0</v>
      </c>
      <c r="M165" s="1513">
        <f t="shared" si="124"/>
        <v>4921.3584431312911</v>
      </c>
      <c r="N165" s="1456">
        <f t="shared" si="130"/>
        <v>0.5</v>
      </c>
      <c r="O165" s="530">
        <f t="shared" si="98"/>
        <v>751.91700000000026</v>
      </c>
      <c r="P165" s="1483">
        <f t="shared" si="127"/>
        <v>5673.2754431312915</v>
      </c>
      <c r="Q165" s="1366">
        <f t="shared" si="99"/>
        <v>47352.792600518558</v>
      </c>
      <c r="R165" s="1366">
        <f t="shared" si="125"/>
        <v>33664.850930995482</v>
      </c>
      <c r="S165" s="1516">
        <f t="shared" si="100"/>
        <v>0.87150683000381035</v>
      </c>
      <c r="T165" s="135" t="str">
        <f t="shared" si="101"/>
        <v>Yes</v>
      </c>
      <c r="U165" s="1516">
        <f t="shared" si="102"/>
        <v>0.87150683000381035</v>
      </c>
      <c r="V165" s="1541">
        <f t="shared" si="95"/>
        <v>49505.683487356204</v>
      </c>
      <c r="W165" s="1542">
        <f t="shared" si="103"/>
        <v>0.40476896254699657</v>
      </c>
      <c r="X165" s="527">
        <f t="shared" si="104"/>
        <v>13687.941669523078</v>
      </c>
      <c r="Y165" s="1511">
        <f t="shared" si="105"/>
        <v>11312.053813112787</v>
      </c>
      <c r="Z165" s="1511">
        <f t="shared" si="106"/>
        <v>3853.2612691553395</v>
      </c>
      <c r="AA165" s="1511">
        <f t="shared" si="107"/>
        <v>0</v>
      </c>
      <c r="AB165" s="1511">
        <f t="shared" si="108"/>
        <v>20652.426735565001</v>
      </c>
      <c r="AC165" s="1511">
        <f t="shared" si="109"/>
        <v>49505.683487356204</v>
      </c>
      <c r="AD165" s="1556">
        <f t="shared" si="110"/>
        <v>0</v>
      </c>
      <c r="AE165" s="1506">
        <f t="shared" si="111"/>
        <v>0.27649232785603273</v>
      </c>
      <c r="AF165" s="1506">
        <f t="shared" si="112"/>
        <v>0.22850010375075208</v>
      </c>
      <c r="AG165" s="1506">
        <f t="shared" si="113"/>
        <v>7.7834725181391867E-2</v>
      </c>
      <c r="AH165" s="1506">
        <f t="shared" si="126"/>
        <v>0</v>
      </c>
      <c r="AI165" s="1506">
        <f t="shared" si="114"/>
        <v>0.41717284321182335</v>
      </c>
      <c r="AJ165" s="1543">
        <f t="shared" si="115"/>
        <v>1</v>
      </c>
      <c r="AK165" s="1557">
        <f t="shared" si="116"/>
        <v>8724.4654641170055</v>
      </c>
      <c r="AL165" s="1558">
        <f t="shared" si="117"/>
        <v>4706.5178738710938</v>
      </c>
      <c r="AM165" s="1558">
        <f t="shared" si="118"/>
        <v>256.95833153497551</v>
      </c>
      <c r="AN165" s="1558">
        <f t="shared" si="119"/>
        <v>13687.941669523074</v>
      </c>
      <c r="AO165" s="1545">
        <f t="shared" si="120"/>
        <v>0</v>
      </c>
    </row>
    <row r="166" spans="1:41">
      <c r="A166" s="873">
        <f>'Input data'!A146</f>
        <v>2046</v>
      </c>
      <c r="B166" s="1553">
        <f>'Input data'!B146</f>
        <v>73.995000000000005</v>
      </c>
      <c r="C166" s="1552">
        <f>'Input data'!C146</f>
        <v>5902.43</v>
      </c>
      <c r="D166" s="1554">
        <f>'Input data'!D146</f>
        <v>13259794.835931966</v>
      </c>
      <c r="E166" s="1510">
        <f>'Input data'!J146*C166</f>
        <v>70943.487278822082</v>
      </c>
      <c r="F166" s="1511">
        <f>'Input data'!L146</f>
        <v>84203.282114754053</v>
      </c>
      <c r="G166" s="1511">
        <f t="shared" si="132"/>
        <v>13687.941669523079</v>
      </c>
      <c r="H166" s="1511">
        <f t="shared" si="121"/>
        <v>39463.620879756534</v>
      </c>
      <c r="I166" s="1513">
        <f t="shared" si="96"/>
        <v>13259.794835931965</v>
      </c>
      <c r="J166" s="1456">
        <f t="shared" si="131"/>
        <v>0.4</v>
      </c>
      <c r="K166" s="1514">
        <f t="shared" si="123"/>
        <v>4487.8075479853123</v>
      </c>
      <c r="L166" s="1514">
        <f t="shared" si="97"/>
        <v>0</v>
      </c>
      <c r="M166" s="1513">
        <f t="shared" si="124"/>
        <v>4487.8075479853123</v>
      </c>
      <c r="N166" s="1456">
        <f t="shared" si="130"/>
        <v>0.5</v>
      </c>
      <c r="O166" s="530">
        <f t="shared" si="98"/>
        <v>751.91700000000026</v>
      </c>
      <c r="P166" s="1483">
        <f t="shared" si="127"/>
        <v>5239.7245479853127</v>
      </c>
      <c r="Q166" s="1366">
        <f t="shared" si="99"/>
        <v>47911.838001294302</v>
      </c>
      <c r="R166" s="1366">
        <f t="shared" si="125"/>
        <v>34223.896331771219</v>
      </c>
      <c r="S166" s="1516">
        <f t="shared" si="100"/>
        <v>0.85654043576486749</v>
      </c>
      <c r="T166" s="135" t="str">
        <f t="shared" si="101"/>
        <v>Yes</v>
      </c>
      <c r="U166" s="1516">
        <f t="shared" si="102"/>
        <v>0.85654043576486749</v>
      </c>
      <c r="V166" s="1541">
        <f t="shared" si="95"/>
        <v>49979.385782982834</v>
      </c>
      <c r="W166" s="1542">
        <f t="shared" si="103"/>
        <v>0.40644373321612515</v>
      </c>
      <c r="X166" s="527">
        <f t="shared" si="104"/>
        <v>13687.941669523087</v>
      </c>
      <c r="Y166" s="1511">
        <f t="shared" si="105"/>
        <v>10984.940526340208</v>
      </c>
      <c r="Z166" s="1511">
        <f t="shared" si="106"/>
        <v>3957.8175022111564</v>
      </c>
      <c r="AA166" s="1511">
        <f t="shared" si="107"/>
        <v>0</v>
      </c>
      <c r="AB166" s="1511">
        <f t="shared" si="108"/>
        <v>21348.686084908382</v>
      </c>
      <c r="AC166" s="1511">
        <f t="shared" si="109"/>
        <v>49979.385782982834</v>
      </c>
      <c r="AD166" s="1537">
        <f t="shared" si="110"/>
        <v>0</v>
      </c>
      <c r="AE166" s="1506">
        <f t="shared" si="111"/>
        <v>0.27387174642277434</v>
      </c>
      <c r="AF166" s="1506">
        <f t="shared" si="112"/>
        <v>0.21978942626542644</v>
      </c>
      <c r="AG166" s="1506">
        <f t="shared" si="113"/>
        <v>7.9188998428202553E-2</v>
      </c>
      <c r="AH166" s="1506">
        <f t="shared" si="126"/>
        <v>0</v>
      </c>
      <c r="AI166" s="1506">
        <f t="shared" si="114"/>
        <v>0.4271498288835967</v>
      </c>
      <c r="AJ166" s="1543">
        <f t="shared" si="115"/>
        <v>1</v>
      </c>
      <c r="AK166" s="1557">
        <f t="shared" si="116"/>
        <v>7955.8769015591788</v>
      </c>
      <c r="AL166" s="1558">
        <f t="shared" si="117"/>
        <v>5431.8683711103895</v>
      </c>
      <c r="AM166" s="1558">
        <f t="shared" si="118"/>
        <v>300.1963968535166</v>
      </c>
      <c r="AN166" s="1558">
        <f t="shared" si="119"/>
        <v>13687.941669523085</v>
      </c>
      <c r="AO166" s="1545">
        <f t="shared" si="120"/>
        <v>0</v>
      </c>
    </row>
    <row r="167" spans="1:41">
      <c r="A167" s="873">
        <f>'Input data'!A147</f>
        <v>2047</v>
      </c>
      <c r="B167" s="1553">
        <f>'Input data'!B147</f>
        <v>74.373000000000005</v>
      </c>
      <c r="C167" s="1552">
        <f>'Input data'!C147</f>
        <v>6104.119999999999</v>
      </c>
      <c r="D167" s="1554">
        <f>'Input data'!D147</f>
        <v>11978813.898335585</v>
      </c>
      <c r="E167" s="1510">
        <f>'Input data'!J147*C167</f>
        <v>73367.673918776389</v>
      </c>
      <c r="F167" s="1511">
        <f>'Input data'!L147</f>
        <v>85346.487817111978</v>
      </c>
      <c r="G167" s="1511">
        <f t="shared" si="132"/>
        <v>13687.941669523079</v>
      </c>
      <c r="H167" s="1511">
        <f t="shared" si="121"/>
        <v>39652.496975635833</v>
      </c>
      <c r="I167" s="1513">
        <f t="shared" si="96"/>
        <v>11978.813898335586</v>
      </c>
      <c r="J167" s="1456">
        <f t="shared" si="131"/>
        <v>0.4</v>
      </c>
      <c r="K167" s="1514">
        <f t="shared" si="123"/>
        <v>4054.2566528393327</v>
      </c>
      <c r="L167" s="1514">
        <f t="shared" si="97"/>
        <v>0</v>
      </c>
      <c r="M167" s="1513">
        <f t="shared" si="124"/>
        <v>4054.2566528393327</v>
      </c>
      <c r="N167" s="1456">
        <f t="shared" si="130"/>
        <v>0.5</v>
      </c>
      <c r="O167" s="530">
        <f t="shared" si="98"/>
        <v>751.91700000000026</v>
      </c>
      <c r="P167" s="1483">
        <f t="shared" si="127"/>
        <v>4806.173652839333</v>
      </c>
      <c r="Q167" s="1366">
        <f t="shared" si="99"/>
        <v>48534.264992319586</v>
      </c>
      <c r="R167" s="1366">
        <f t="shared" si="125"/>
        <v>34846.32332279651</v>
      </c>
      <c r="S167" s="1516">
        <f t="shared" si="100"/>
        <v>0.84277802498045462</v>
      </c>
      <c r="T167" s="135" t="str">
        <f t="shared" si="101"/>
        <v>Yes</v>
      </c>
      <c r="U167" s="1516">
        <f t="shared" si="102"/>
        <v>0.84277802498045462</v>
      </c>
      <c r="V167" s="1541">
        <f t="shared" si="95"/>
        <v>50500.164494315475</v>
      </c>
      <c r="W167" s="1542">
        <f t="shared" si="103"/>
        <v>0.40829241148702333</v>
      </c>
      <c r="X167" s="527">
        <f t="shared" si="104"/>
        <v>13687.941669523076</v>
      </c>
      <c r="Y167" s="1511">
        <f t="shared" si="105"/>
        <v>10666.672511365883</v>
      </c>
      <c r="Z167" s="1511">
        <f t="shared" si="106"/>
        <v>4067.3652769905207</v>
      </c>
      <c r="AA167" s="1511">
        <f t="shared" si="107"/>
        <v>0</v>
      </c>
      <c r="AB167" s="1511">
        <f t="shared" si="108"/>
        <v>22078.185036435996</v>
      </c>
      <c r="AC167" s="1511">
        <f t="shared" si="109"/>
        <v>50500.164494315475</v>
      </c>
      <c r="AD167" s="1537">
        <f t="shared" si="110"/>
        <v>0</v>
      </c>
      <c r="AE167" s="1506">
        <f t="shared" si="111"/>
        <v>0.27104746700505999</v>
      </c>
      <c r="AF167" s="1506">
        <f t="shared" si="112"/>
        <v>0.21122054983734898</v>
      </c>
      <c r="AG167" s="1506">
        <f t="shared" si="113"/>
        <v>8.0541624323785352E-2</v>
      </c>
      <c r="AH167" s="1506">
        <f t="shared" si="126"/>
        <v>0</v>
      </c>
      <c r="AI167" s="1506">
        <f t="shared" si="114"/>
        <v>0.43719035883380569</v>
      </c>
      <c r="AJ167" s="1543">
        <f t="shared" si="115"/>
        <v>1</v>
      </c>
      <c r="AK167" s="1557">
        <f t="shared" si="116"/>
        <v>7187.2883390013503</v>
      </c>
      <c r="AL167" s="1558">
        <f t="shared" si="117"/>
        <v>6156.3768303570751</v>
      </c>
      <c r="AM167" s="1558">
        <f t="shared" si="118"/>
        <v>344.27650016464906</v>
      </c>
      <c r="AN167" s="1558">
        <f t="shared" si="119"/>
        <v>13687.941669523074</v>
      </c>
      <c r="AO167" s="1545">
        <f t="shared" si="120"/>
        <v>0</v>
      </c>
    </row>
    <row r="168" spans="1:41">
      <c r="A168" s="873">
        <f>'Input data'!A148</f>
        <v>2048</v>
      </c>
      <c r="B168" s="1553">
        <f>'Input data'!B148</f>
        <v>74.753</v>
      </c>
      <c r="C168" s="1552">
        <f>'Input data'!C148</f>
        <v>6308.13</v>
      </c>
      <c r="D168" s="1554">
        <f>'Input data'!D148</f>
        <v>10697832.960739207</v>
      </c>
      <c r="E168" s="1510">
        <f>'Input data'!J148*C168</f>
        <v>75819.745496033996</v>
      </c>
      <c r="F168" s="1511">
        <f>'Input data'!L148</f>
        <v>86517.578456773204</v>
      </c>
      <c r="G168" s="1511">
        <f t="shared" si="132"/>
        <v>13687.941669523079</v>
      </c>
      <c r="H168" s="1511">
        <f t="shared" si="121"/>
        <v>39857.373647073255</v>
      </c>
      <c r="I168" s="1513">
        <f t="shared" si="96"/>
        <v>10697.832960739206</v>
      </c>
      <c r="J168" s="1456">
        <f t="shared" si="131"/>
        <v>0.4</v>
      </c>
      <c r="K168" s="1514">
        <f t="shared" si="123"/>
        <v>3620.7057576933535</v>
      </c>
      <c r="L168" s="1514">
        <f t="shared" si="97"/>
        <v>0</v>
      </c>
      <c r="M168" s="1513">
        <f t="shared" si="124"/>
        <v>3620.7057576933535</v>
      </c>
      <c r="N168" s="1456">
        <f t="shared" si="130"/>
        <v>0.5</v>
      </c>
      <c r="O168" s="530">
        <f t="shared" si="98"/>
        <v>751.91700000000026</v>
      </c>
      <c r="P168" s="1483">
        <f t="shared" si="127"/>
        <v>4372.6227576933534</v>
      </c>
      <c r="Q168" s="1366">
        <f t="shared" si="99"/>
        <v>49172.692558902978</v>
      </c>
      <c r="R168" s="1366">
        <f t="shared" si="125"/>
        <v>35484.750889379895</v>
      </c>
      <c r="S168" s="1516">
        <f t="shared" si="100"/>
        <v>0.82997513401691247</v>
      </c>
      <c r="T168" s="135" t="str">
        <f t="shared" si="101"/>
        <v>Yes</v>
      </c>
      <c r="U168" s="1516">
        <f t="shared" si="102"/>
        <v>0.82997513401691247</v>
      </c>
      <c r="V168" s="1541">
        <f t="shared" si="95"/>
        <v>51032.827567393309</v>
      </c>
      <c r="W168" s="1542">
        <f t="shared" si="103"/>
        <v>0.41014498466469618</v>
      </c>
      <c r="X168" s="527">
        <f t="shared" si="104"/>
        <v>13687.941669523083</v>
      </c>
      <c r="Y168" s="1511">
        <f t="shared" si="105"/>
        <v>10350.637470338455</v>
      </c>
      <c r="Z168" s="1511">
        <f t="shared" si="106"/>
        <v>4178.1731580591822</v>
      </c>
      <c r="AA168" s="1511">
        <f t="shared" si="107"/>
        <v>0</v>
      </c>
      <c r="AB168" s="1511">
        <f t="shared" si="108"/>
        <v>22816.075269472592</v>
      </c>
      <c r="AC168" s="1511">
        <f t="shared" si="109"/>
        <v>51032.827567393309</v>
      </c>
      <c r="AD168" s="1537">
        <f t="shared" si="110"/>
        <v>0</v>
      </c>
      <c r="AE168" s="1506">
        <f t="shared" si="111"/>
        <v>0.2682183669217027</v>
      </c>
      <c r="AF168" s="1506">
        <f t="shared" si="112"/>
        <v>0.20282312314890907</v>
      </c>
      <c r="AG168" s="1506">
        <f t="shared" si="113"/>
        <v>8.1872264525055749E-2</v>
      </c>
      <c r="AH168" s="1506">
        <f t="shared" si="126"/>
        <v>0</v>
      </c>
      <c r="AI168" s="1506">
        <f t="shared" si="114"/>
        <v>0.44708624540433256</v>
      </c>
      <c r="AJ168" s="1543">
        <f t="shared" si="115"/>
        <v>1</v>
      </c>
      <c r="AK168" s="1557">
        <f t="shared" si="116"/>
        <v>6418.6997764435237</v>
      </c>
      <c r="AL168" s="1558">
        <f t="shared" si="117"/>
        <v>6880.2142237840762</v>
      </c>
      <c r="AM168" s="1558">
        <f t="shared" si="118"/>
        <v>389.02766929548244</v>
      </c>
      <c r="AN168" s="1558">
        <f t="shared" si="119"/>
        <v>13687.941669523083</v>
      </c>
      <c r="AO168" s="1545">
        <f t="shared" si="120"/>
        <v>0</v>
      </c>
    </row>
    <row r="169" spans="1:41">
      <c r="A169" s="127">
        <f>'Input data'!A149</f>
        <v>2049</v>
      </c>
      <c r="B169" s="662">
        <f>'Input data'!B149</f>
        <v>75.134</v>
      </c>
      <c r="C169" s="236">
        <f>'Input data'!C149</f>
        <v>6522.2000000000007</v>
      </c>
      <c r="D169" s="237">
        <f>'Input data'!D149</f>
        <v>9416852.0231428221</v>
      </c>
      <c r="E169" s="527">
        <f>'Input data'!J149*C169</f>
        <v>78392.731930735885</v>
      </c>
      <c r="F169" s="528">
        <f>'Input data'!L149</f>
        <v>87809.583953878711</v>
      </c>
      <c r="G169" s="528">
        <f t="shared" si="132"/>
        <v>13687.941669523079</v>
      </c>
      <c r="H169" s="1511">
        <f t="shared" si="121"/>
        <v>40131.632124594486</v>
      </c>
      <c r="I169" s="1513">
        <f t="shared" si="96"/>
        <v>9416.8520231428229</v>
      </c>
      <c r="J169" s="649">
        <f t="shared" si="131"/>
        <v>0.4</v>
      </c>
      <c r="K169" s="1514">
        <f t="shared" si="123"/>
        <v>3187.1548625473733</v>
      </c>
      <c r="L169" s="1514">
        <f t="shared" si="97"/>
        <v>0</v>
      </c>
      <c r="M169" s="1513">
        <f t="shared" si="124"/>
        <v>3187.1548625473733</v>
      </c>
      <c r="N169" s="649">
        <f t="shared" si="130"/>
        <v>0.5</v>
      </c>
      <c r="O169" s="530">
        <f t="shared" si="98"/>
        <v>751.91700000000026</v>
      </c>
      <c r="P169" s="1483">
        <f t="shared" si="127"/>
        <v>3939.0718625473737</v>
      </c>
      <c r="Q169" s="1366">
        <f t="shared" si="99"/>
        <v>49880.501931570187</v>
      </c>
      <c r="R169" s="1366">
        <f t="shared" si="125"/>
        <v>36192.560262047104</v>
      </c>
      <c r="S169" s="1516">
        <f t="shared" si="100"/>
        <v>0.81827358236689396</v>
      </c>
      <c r="T169" s="135" t="str">
        <f t="shared" si="101"/>
        <v>Yes</v>
      </c>
      <c r="U169" s="1516">
        <f t="shared" si="102"/>
        <v>0.81827358236689396</v>
      </c>
      <c r="V169" s="1541">
        <f t="shared" si="95"/>
        <v>51617.023691831622</v>
      </c>
      <c r="W169" s="1542">
        <f t="shared" si="103"/>
        <v>0.41217095711394036</v>
      </c>
      <c r="X169" s="527">
        <f t="shared" si="104"/>
        <v>13687.941669523083</v>
      </c>
      <c r="Y169" s="1511">
        <f t="shared" si="105"/>
        <v>10044.285066339367</v>
      </c>
      <c r="Z169" s="1511">
        <f t="shared" si="106"/>
        <v>4294.4451207098782</v>
      </c>
      <c r="AA169" s="1511">
        <f t="shared" si="107"/>
        <v>0</v>
      </c>
      <c r="AB169" s="1511">
        <f t="shared" si="108"/>
        <v>23590.351835259287</v>
      </c>
      <c r="AC169" s="1511">
        <f t="shared" si="109"/>
        <v>51617.023691831622</v>
      </c>
      <c r="AD169" s="1537">
        <f t="shared" si="110"/>
        <v>0</v>
      </c>
      <c r="AE169" s="1506">
        <f t="shared" si="111"/>
        <v>0.26518269924364501</v>
      </c>
      <c r="AF169" s="1506">
        <f t="shared" si="112"/>
        <v>0.19459248805794419</v>
      </c>
      <c r="AG169" s="1506">
        <f t="shared" si="113"/>
        <v>8.3198232163654809E-2</v>
      </c>
      <c r="AH169" s="1506">
        <f t="shared" si="126"/>
        <v>0</v>
      </c>
      <c r="AI169" s="1506">
        <f t="shared" si="114"/>
        <v>0.45702658053475587</v>
      </c>
      <c r="AJ169" s="1543">
        <f t="shared" si="115"/>
        <v>0.99999999999999989</v>
      </c>
      <c r="AK169" s="1557">
        <f t="shared" si="116"/>
        <v>5650.1112138856934</v>
      </c>
      <c r="AL169" s="1558">
        <f t="shared" si="117"/>
        <v>7603.2813661405662</v>
      </c>
      <c r="AM169" s="1558">
        <f t="shared" si="118"/>
        <v>434.54908949682107</v>
      </c>
      <c r="AN169" s="1558">
        <f t="shared" si="119"/>
        <v>13687.941669523079</v>
      </c>
      <c r="AO169" s="1545">
        <f t="shared" si="120"/>
        <v>0</v>
      </c>
    </row>
    <row r="170" spans="1:41" ht="15" thickBot="1">
      <c r="A170" s="172">
        <f>'Input data'!A150</f>
        <v>2050</v>
      </c>
      <c r="B170" s="664">
        <f>'Input data'!B150</f>
        <v>75.518000000000001</v>
      </c>
      <c r="C170" s="239">
        <f>'Input data'!C150</f>
        <v>6747.1300000000019</v>
      </c>
      <c r="D170" s="240">
        <f>'Input data'!D150</f>
        <v>8135871.0855464395</v>
      </c>
      <c r="E170" s="670">
        <f>'Input data'!J150*C170</f>
        <v>81096.248718503892</v>
      </c>
      <c r="F170" s="667">
        <f>'Input data'!L150</f>
        <v>89232.119804050337</v>
      </c>
      <c r="G170" s="667">
        <f t="shared" si="132"/>
        <v>13687.941669523079</v>
      </c>
      <c r="H170" s="667">
        <f t="shared" si="121"/>
        <v>40480.789848047149</v>
      </c>
      <c r="I170" s="659">
        <f t="shared" si="96"/>
        <v>8135.8710855464396</v>
      </c>
      <c r="J170" s="650">
        <f t="shared" si="131"/>
        <v>0.4</v>
      </c>
      <c r="K170" s="1520">
        <f t="shared" si="123"/>
        <v>2753.6039674013932</v>
      </c>
      <c r="L170" s="1520">
        <f t="shared" si="97"/>
        <v>0</v>
      </c>
      <c r="M170" s="1522">
        <f t="shared" si="124"/>
        <v>2753.6039674013932</v>
      </c>
      <c r="N170" s="650">
        <f t="shared" si="130"/>
        <v>0.5</v>
      </c>
      <c r="O170" s="659">
        <f t="shared" si="98"/>
        <v>751.91700000000026</v>
      </c>
      <c r="P170" s="1484">
        <f t="shared" si="127"/>
        <v>3505.5209674013936</v>
      </c>
      <c r="Q170" s="1487">
        <f t="shared" si="99"/>
        <v>50663.210550168835</v>
      </c>
      <c r="R170" s="1487">
        <f t="shared" si="125"/>
        <v>36975.268880645759</v>
      </c>
      <c r="S170" s="1525">
        <f t="shared" si="100"/>
        <v>0.80764319922730154</v>
      </c>
      <c r="T170" s="1105" t="str">
        <f t="shared" si="101"/>
        <v>Yes</v>
      </c>
      <c r="U170" s="1525">
        <f t="shared" si="102"/>
        <v>0.80764319922730154</v>
      </c>
      <c r="V170" s="1546">
        <f t="shared" si="95"/>
        <v>52256.850923404578</v>
      </c>
      <c r="W170" s="1547">
        <f t="shared" si="103"/>
        <v>0.41437174149669154</v>
      </c>
      <c r="X170" s="670">
        <f t="shared" si="104"/>
        <v>13687.941669523076</v>
      </c>
      <c r="Y170" s="1520">
        <f t="shared" si="105"/>
        <v>9748.385290384791</v>
      </c>
      <c r="Z170" s="1520">
        <f t="shared" si="106"/>
        <v>4416.6156843527096</v>
      </c>
      <c r="AA170" s="1520">
        <f t="shared" si="107"/>
        <v>0</v>
      </c>
      <c r="AB170" s="1520">
        <f t="shared" si="108"/>
        <v>24403.908279144001</v>
      </c>
      <c r="AC170" s="1520">
        <f t="shared" si="109"/>
        <v>52256.850923404578</v>
      </c>
      <c r="AD170" s="1548">
        <f t="shared" si="110"/>
        <v>0</v>
      </c>
      <c r="AE170" s="1523">
        <f t="shared" si="111"/>
        <v>0.26193583095135531</v>
      </c>
      <c r="AF170" s="1523">
        <f t="shared" si="112"/>
        <v>0.18654750751577961</v>
      </c>
      <c r="AG170" s="1523">
        <f t="shared" si="113"/>
        <v>8.4517448072528506E-2</v>
      </c>
      <c r="AH170" s="1523">
        <f t="shared" si="126"/>
        <v>0</v>
      </c>
      <c r="AI170" s="1523">
        <f>AB170/AC170</f>
        <v>0.46699921346033657</v>
      </c>
      <c r="AJ170" s="1549">
        <f t="shared" si="115"/>
        <v>1</v>
      </c>
      <c r="AK170" s="1641">
        <f t="shared" si="116"/>
        <v>4881.5226513278631</v>
      </c>
      <c r="AL170" s="1642">
        <f t="shared" si="117"/>
        <v>8325.5993581836865</v>
      </c>
      <c r="AM170" s="1642">
        <f t="shared" si="118"/>
        <v>480.81966001152483</v>
      </c>
      <c r="AN170" s="1642">
        <f t="shared" si="119"/>
        <v>13687.941669523074</v>
      </c>
      <c r="AO170" s="1550">
        <f t="shared" si="120"/>
        <v>0</v>
      </c>
    </row>
    <row r="172" spans="1:41" ht="23.4">
      <c r="A172" s="686" t="s">
        <v>653</v>
      </c>
    </row>
    <row r="173" spans="1:41" ht="24" thickBot="1">
      <c r="A173" s="686"/>
    </row>
    <row r="174" spans="1:41" ht="21.6" customHeight="1" thickBot="1">
      <c r="A174" s="1873" t="s">
        <v>602</v>
      </c>
      <c r="B174" s="1874"/>
      <c r="C174" s="1874"/>
      <c r="D174" s="1875"/>
      <c r="E174" s="1922" t="s">
        <v>603</v>
      </c>
      <c r="F174" s="1923"/>
      <c r="G174" s="1923"/>
      <c r="H174" s="1923"/>
      <c r="I174" s="1924"/>
      <c r="J174" s="1823"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1" ht="43.2" customHeight="1">
      <c r="A175" s="1868"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69"/>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56.521999999999998</v>
      </c>
      <c r="C177" s="1509">
        <f>'Input data'!C117</f>
        <v>3120.54</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v>
      </c>
      <c r="C178" s="1509">
        <f>'Input data'!C118</f>
        <v>3152.24</v>
      </c>
      <c r="D178" s="1509">
        <f>'Input data'!E118</f>
        <v>50172070.130067617</v>
      </c>
      <c r="E178" s="1510">
        <f>'Input data'!J118*C178</f>
        <v>37887.937398629729</v>
      </c>
      <c r="F178" s="1511">
        <f>'Input data'!L118</f>
        <v>88060.007528697344</v>
      </c>
      <c r="G178" s="1512">
        <f>G177*0.94</f>
        <v>64333.325846758482</v>
      </c>
      <c r="H178" s="1511">
        <f>E178*$B$12+I178*$E$80-G178</f>
        <v>4491.135057742722</v>
      </c>
      <c r="I178" s="1513">
        <f t="shared" ref="I178:I210" si="135">D178/1000</f>
        <v>50172.070130067616</v>
      </c>
      <c r="J178" s="1456">
        <f>($J$190-$J$177)/($A$190-$A$177)+J177</f>
        <v>8.7582527933999524E-2</v>
      </c>
      <c r="K178" s="1514">
        <f>(I178)*J178-(I178)*$J$137</f>
        <v>1306.2192765294853</v>
      </c>
      <c r="L178" s="1514">
        <f t="shared" ref="L178:L210" si="136">(E178)*$C$12*$G$12-(E178)*$C$12*$G$12</f>
        <v>0</v>
      </c>
      <c r="M178" s="1513">
        <f>L178+K178</f>
        <v>1306.2192765294853</v>
      </c>
      <c r="N178" s="1456">
        <v>0.05</v>
      </c>
      <c r="O178" s="1513">
        <f t="shared" ref="O178:O210" si="137">N178*$E$177*($C$85)*$B$12</f>
        <v>75.191700000000026</v>
      </c>
      <c r="P178" s="1483">
        <f>O178+M178</f>
        <v>1381.4109765294854</v>
      </c>
      <c r="Q178" s="1366">
        <f t="shared" ref="Q178:Q210" si="138">E178*$B$12+(1-$J$137)*I178-P178</f>
        <v>67443.049927971719</v>
      </c>
      <c r="R178" s="1366">
        <f>Q178-G178</f>
        <v>3109.7240812132368</v>
      </c>
      <c r="S178" s="1516">
        <f t="shared" ref="S178:S210" si="139">R178/(Q178-I178*(1-J178))</f>
        <v>0.14353559855285578</v>
      </c>
      <c r="T178" s="135" t="str">
        <f t="shared" ref="T178:T210" si="140">IF(AND(S178&gt;=0,S178&lt;=1),"Yes","No")</f>
        <v>Yes</v>
      </c>
      <c r="U178" s="1528">
        <f t="shared" ref="U178:U210" si="141">IF(S178&lt;=0,0,IF(S178&gt;=1,1,S178))</f>
        <v>0.14353559855285578</v>
      </c>
      <c r="V178" s="1496">
        <f t="shared" ref="V178:V210" si="142">AC178</f>
        <v>84950.283447484122</v>
      </c>
      <c r="W178" s="1493">
        <f t="shared" si="134"/>
        <v>3.5313693110914368E-2</v>
      </c>
      <c r="X178" s="527">
        <f t="shared" ref="X178:X210" si="143">(E178*$B$12-O178-L178)*(1-U178)+I178*(1-J178)</f>
        <v>64333.325846758482</v>
      </c>
      <c r="Y178" s="1511">
        <f t="shared" ref="Y178:Y210" si="144">I178*J178+E178*$G$12*$C$12</f>
        <v>7428.192334688978</v>
      </c>
      <c r="Z178" s="1533">
        <f t="shared" ref="Z178:Z210" si="145">($C$12*$H$12*E178+O178)</f>
        <v>1787.3285316252955</v>
      </c>
      <c r="AA178" s="1533">
        <f t="shared" ref="AA178:AA210" si="146">$F$137*$D$11</f>
        <v>0</v>
      </c>
      <c r="AB178" s="1533">
        <f t="shared" ref="AB178:AB210" si="147">E178*$E$12</f>
        <v>11401.436734411351</v>
      </c>
      <c r="AC178" s="1533">
        <f t="shared" ref="AC178:AC210" si="148">SUM(X178:AB178)</f>
        <v>84950.283447484122</v>
      </c>
      <c r="AD178" s="1489">
        <f t="shared" ref="AD178:AD210" si="149">X178-G178</f>
        <v>0</v>
      </c>
      <c r="AE178" s="649">
        <f t="shared" ref="AE178:AE210" si="150">X178/AC178</f>
        <v>0.75730560553725579</v>
      </c>
      <c r="AF178" s="417">
        <f t="shared" ref="AF178:AF210" si="151">Y178/AC178</f>
        <v>8.74416427260193E-2</v>
      </c>
      <c r="AG178" s="417">
        <f t="shared" ref="AG178:AG210" si="152">Z178/AC178</f>
        <v>2.1039700623603143E-2</v>
      </c>
      <c r="AH178" s="417">
        <f>AA178/AC178</f>
        <v>0</v>
      </c>
      <c r="AI178" s="417">
        <f t="shared" ref="AI178:AI209" si="153">AB178/AC178</f>
        <v>0.13421305111312157</v>
      </c>
      <c r="AJ178" s="417">
        <f t="shared" ref="AJ178:AJ210" si="154">SUM(AE178:AI178)</f>
        <v>0.99999999999999978</v>
      </c>
      <c r="AK178" s="1499">
        <f t="shared" ref="AK178:AK210" si="155">I178*(1-$J$177)-K178</f>
        <v>45777.873396394389</v>
      </c>
      <c r="AL178" s="1500">
        <f t="shared" ref="AL178:AL210" si="156">(E178*$C$86*$B$12-L178)*(1-U178)</f>
        <v>17318.787232577462</v>
      </c>
      <c r="AM178" s="1500">
        <f t="shared" ref="AM178:AM210" si="157">(E178*($C$85)*$B$12-O178)*(1-U178)</f>
        <v>1236.6652177866376</v>
      </c>
      <c r="AN178" s="1500">
        <f t="shared" ref="AN178:AN210" si="158">SUM(AK178:AM178)</f>
        <v>64333.325846758482</v>
      </c>
      <c r="AO178" s="1186">
        <f t="shared" ref="AO178:AO210" si="159">AN178-X178</f>
        <v>0</v>
      </c>
    </row>
    <row r="179" spans="1:41">
      <c r="A179" s="100">
        <f>'Input data'!A119</f>
        <v>2019</v>
      </c>
      <c r="B179" s="1508">
        <f>'Input data'!B119</f>
        <v>58.365000000000002</v>
      </c>
      <c r="C179" s="1509">
        <f>'Input data'!C119</f>
        <v>3179.2899999999995</v>
      </c>
      <c r="D179" s="1509">
        <f>'Input data'!E119</f>
        <v>49847473.41597119</v>
      </c>
      <c r="E179" s="1510">
        <f>'Input data'!J119*C179</f>
        <v>38213.061344342277</v>
      </c>
      <c r="F179" s="1511">
        <f>'Input data'!L119</f>
        <v>88060.534760313458</v>
      </c>
      <c r="G179" s="1512">
        <f>G177*0.89</f>
        <v>60911.340429377713</v>
      </c>
      <c r="H179" s="1511">
        <f t="shared" ref="H179:H210" si="160">E179*$B$12+I179*$E$80-G179</f>
        <v>7795.0603895827808</v>
      </c>
      <c r="I179" s="1513">
        <f t="shared" si="135"/>
        <v>49847.473415971188</v>
      </c>
      <c r="J179" s="1456">
        <f t="shared" ref="J179:J189" si="161">($J$190-$J$177)/($A$190-$A$177)+J178</f>
        <v>0.11361731727283289</v>
      </c>
      <c r="K179" s="1514">
        <f t="shared" ref="K179:K210" si="162">(I179)*J179-(I179)*$J$137</f>
        <v>2595.5369389158132</v>
      </c>
      <c r="L179" s="1514">
        <f t="shared" si="136"/>
        <v>0</v>
      </c>
      <c r="M179" s="1513">
        <f t="shared" ref="M179:M210" si="163">L179+K179</f>
        <v>2595.5369389158132</v>
      </c>
      <c r="N179" s="1456">
        <v>0.1</v>
      </c>
      <c r="O179" s="1513">
        <f t="shared" si="137"/>
        <v>150.38340000000005</v>
      </c>
      <c r="P179" s="1483">
        <f>O179+M179</f>
        <v>2745.9203389158133</v>
      </c>
      <c r="Q179" s="1366">
        <f t="shared" si="138"/>
        <v>65960.480480044687</v>
      </c>
      <c r="R179" s="1366">
        <f t="shared" ref="R179:R210" si="164">Q179-G179</f>
        <v>5049.1400506669743</v>
      </c>
      <c r="S179" s="1516">
        <f t="shared" si="139"/>
        <v>0.23186141110153705</v>
      </c>
      <c r="T179" s="135" t="str">
        <f t="shared" si="140"/>
        <v>Yes</v>
      </c>
      <c r="U179" s="1528">
        <f t="shared" si="141"/>
        <v>0.23186141110153705</v>
      </c>
      <c r="V179" s="1496">
        <f t="shared" si="142"/>
        <v>83011.394709646513</v>
      </c>
      <c r="W179" s="1493">
        <f t="shared" si="134"/>
        <v>5.7337149546160315E-2</v>
      </c>
      <c r="X179" s="527">
        <f t="shared" si="143"/>
        <v>60911.340429377713</v>
      </c>
      <c r="Y179" s="1511">
        <f t="shared" si="144"/>
        <v>8723.5671246015063</v>
      </c>
      <c r="Z179" s="1533">
        <f t="shared" si="145"/>
        <v>1877.2124191793723</v>
      </c>
      <c r="AA179" s="1533">
        <f t="shared" si="146"/>
        <v>0</v>
      </c>
      <c r="AB179" s="1533">
        <f t="shared" si="147"/>
        <v>11499.274736487914</v>
      </c>
      <c r="AC179" s="1533">
        <f t="shared" si="148"/>
        <v>83011.394709646513</v>
      </c>
      <c r="AD179" s="1489">
        <f t="shared" si="149"/>
        <v>0</v>
      </c>
      <c r="AE179" s="649">
        <f t="shared" si="150"/>
        <v>0.73377083522606301</v>
      </c>
      <c r="AF179" s="417">
        <f t="shared" si="151"/>
        <v>0.10508879118480545</v>
      </c>
      <c r="AG179" s="417">
        <f t="shared" si="152"/>
        <v>2.2613912532675792E-2</v>
      </c>
      <c r="AH179" s="417">
        <f t="shared" ref="AH179:AH210" si="165">AA179/AC179</f>
        <v>0</v>
      </c>
      <c r="AI179" s="417">
        <f t="shared" si="153"/>
        <v>0.13852646105645564</v>
      </c>
      <c r="AJ179" s="417">
        <f t="shared" si="154"/>
        <v>0.99999999999999978</v>
      </c>
      <c r="AK179" s="1499">
        <f t="shared" si="155"/>
        <v>44183.937213619683</v>
      </c>
      <c r="AL179" s="1500">
        <f t="shared" si="156"/>
        <v>15666.017668085971</v>
      </c>
      <c r="AM179" s="1500">
        <f t="shared" si="157"/>
        <v>1061.3855476720448</v>
      </c>
      <c r="AN179" s="1500">
        <f t="shared" si="158"/>
        <v>60911.340429377698</v>
      </c>
      <c r="AO179" s="1186">
        <f t="shared" si="159"/>
        <v>0</v>
      </c>
    </row>
    <row r="180" spans="1:41">
      <c r="A180" s="100">
        <f>'Input data'!A120</f>
        <v>2020</v>
      </c>
      <c r="B180" s="1508">
        <f>'Input data'!B120</f>
        <v>59.308999999999997</v>
      </c>
      <c r="C180" s="1509">
        <f>'Input data'!C120</f>
        <v>2948.9199999999987</v>
      </c>
      <c r="D180" s="1509">
        <f>'Input data'!E120</f>
        <v>47586944.933914557</v>
      </c>
      <c r="E180" s="1510">
        <f>'Input data'!J120*C180</f>
        <v>35444.159186345947</v>
      </c>
      <c r="F180" s="1511">
        <f>'Input data'!L120</f>
        <v>83031.104120260512</v>
      </c>
      <c r="G180" s="1512">
        <f>G177*0.81</f>
        <v>55436.163761568481</v>
      </c>
      <c r="H180" s="1511">
        <f t="shared" si="160"/>
        <v>9560.0232193156335</v>
      </c>
      <c r="I180" s="1513">
        <f t="shared" si="135"/>
        <v>47586.944933914558</v>
      </c>
      <c r="J180" s="1456">
        <f t="shared" si="161"/>
        <v>0.13965210661166627</v>
      </c>
      <c r="K180" s="1514">
        <f t="shared" si="162"/>
        <v>3716.7482598993884</v>
      </c>
      <c r="L180" s="1514">
        <f t="shared" si="136"/>
        <v>0</v>
      </c>
      <c r="M180" s="1513">
        <f t="shared" si="163"/>
        <v>3716.7482598993884</v>
      </c>
      <c r="N180" s="1456">
        <f>($N$142-$N$137)/($A$102-$A$97)+N179</f>
        <v>0.2</v>
      </c>
      <c r="O180" s="1513">
        <f t="shared" si="137"/>
        <v>300.7668000000001</v>
      </c>
      <c r="P180" s="1483">
        <f t="shared" ref="P180:P210" si="166">O180+M180</f>
        <v>4017.5150598993887</v>
      </c>
      <c r="Q180" s="1366">
        <f t="shared" si="138"/>
        <v>60978.671920984729</v>
      </c>
      <c r="R180" s="1366">
        <f t="shared" si="164"/>
        <v>5542.5081594162475</v>
      </c>
      <c r="S180" s="1516">
        <f t="shared" si="139"/>
        <v>0.27660892248646951</v>
      </c>
      <c r="T180" s="135" t="str">
        <f t="shared" si="140"/>
        <v>Yes</v>
      </c>
      <c r="U180" s="1528">
        <f t="shared" si="141"/>
        <v>0.27660892248646951</v>
      </c>
      <c r="V180" s="1496">
        <f t="shared" si="142"/>
        <v>77488.59596084425</v>
      </c>
      <c r="W180" s="1493">
        <f t="shared" si="134"/>
        <v>6.6752191460547228E-2</v>
      </c>
      <c r="X180" s="527">
        <f t="shared" si="143"/>
        <v>55436.163761568474</v>
      </c>
      <c r="Y180" s="1511">
        <f t="shared" si="144"/>
        <v>9483.9194914905984</v>
      </c>
      <c r="Z180" s="1533">
        <f t="shared" si="145"/>
        <v>1902.4705235478471</v>
      </c>
      <c r="AA180" s="1533">
        <f t="shared" si="146"/>
        <v>0</v>
      </c>
      <c r="AB180" s="1533">
        <f t="shared" si="147"/>
        <v>10666.04218423734</v>
      </c>
      <c r="AC180" s="1533">
        <f t="shared" si="148"/>
        <v>77488.59596084425</v>
      </c>
      <c r="AD180" s="1489">
        <f t="shared" si="149"/>
        <v>0</v>
      </c>
      <c r="AE180" s="649">
        <f t="shared" si="150"/>
        <v>0.71541061073788093</v>
      </c>
      <c r="AF180" s="417">
        <f t="shared" si="151"/>
        <v>0.12239116445319149</v>
      </c>
      <c r="AG180" s="417">
        <f t="shared" si="152"/>
        <v>2.4551619499070341E-2</v>
      </c>
      <c r="AH180" s="417">
        <f t="shared" si="165"/>
        <v>0</v>
      </c>
      <c r="AI180" s="417">
        <f t="shared" si="153"/>
        <v>0.13764660530985742</v>
      </c>
      <c r="AJ180" s="417">
        <f t="shared" si="154"/>
        <v>1.0000000000000002</v>
      </c>
      <c r="AK180" s="1499">
        <f t="shared" si="155"/>
        <v>40941.327826680026</v>
      </c>
      <c r="AL180" s="1500">
        <f t="shared" si="156"/>
        <v>13684.376780586761</v>
      </c>
      <c r="AM180" s="1500">
        <f t="shared" si="157"/>
        <v>810.45915430168679</v>
      </c>
      <c r="AN180" s="1500">
        <f t="shared" si="158"/>
        <v>55436.163761568474</v>
      </c>
      <c r="AO180" s="1186">
        <f t="shared" si="159"/>
        <v>0</v>
      </c>
    </row>
    <row r="181" spans="1:41">
      <c r="A181" s="100">
        <f>'Input data'!A121</f>
        <v>2021</v>
      </c>
      <c r="B181" s="1508">
        <f>'Input data'!B121</f>
        <v>59.991999999999997</v>
      </c>
      <c r="C181" s="1509">
        <f>'Input data'!C121</f>
        <v>3014.38</v>
      </c>
      <c r="D181" s="1509">
        <f>'Input data'!E121</f>
        <v>47328556.831579238</v>
      </c>
      <c r="E181" s="1510">
        <f>'Input data'!J121*C181</f>
        <v>36230.947115600815</v>
      </c>
      <c r="F181" s="1511">
        <f>'Input data'!L121</f>
        <v>83559.503947180056</v>
      </c>
      <c r="G181" s="1512">
        <f>G177*0.65</f>
        <v>44485.810425950018</v>
      </c>
      <c r="H181" s="1511">
        <f t="shared" si="160"/>
        <v>20719.356171508938</v>
      </c>
      <c r="I181" s="1513">
        <f t="shared" si="135"/>
        <v>47328.556831579241</v>
      </c>
      <c r="J181" s="1456">
        <f t="shared" si="161"/>
        <v>0.16568689595049965</v>
      </c>
      <c r="K181" s="1514">
        <f t="shared" si="162"/>
        <v>4928.7560272846749</v>
      </c>
      <c r="L181" s="1514">
        <f t="shared" si="136"/>
        <v>0</v>
      </c>
      <c r="M181" s="1513">
        <f t="shared" si="163"/>
        <v>4928.7560272846749</v>
      </c>
      <c r="N181" s="1456">
        <v>0.4</v>
      </c>
      <c r="O181" s="1513">
        <f t="shared" si="137"/>
        <v>601.53360000000021</v>
      </c>
      <c r="P181" s="1483">
        <f t="shared" si="166"/>
        <v>5530.2896272846756</v>
      </c>
      <c r="Q181" s="1366">
        <f t="shared" si="138"/>
        <v>59674.876970174279</v>
      </c>
      <c r="R181" s="1366">
        <f t="shared" si="164"/>
        <v>15189.066544224261</v>
      </c>
      <c r="S181" s="1516">
        <f t="shared" si="139"/>
        <v>0.75237938811993599</v>
      </c>
      <c r="T181" s="135" t="str">
        <f t="shared" si="140"/>
        <v>Yes</v>
      </c>
      <c r="U181" s="1528">
        <f t="shared" si="141"/>
        <v>0.75237938811993599</v>
      </c>
      <c r="V181" s="1496">
        <f t="shared" si="142"/>
        <v>68370.437402955795</v>
      </c>
      <c r="W181" s="1493">
        <f t="shared" si="134"/>
        <v>0.18177545134573359</v>
      </c>
      <c r="X181" s="527">
        <f t="shared" si="143"/>
        <v>44485.810425950018</v>
      </c>
      <c r="Y181" s="1511">
        <f t="shared" si="144"/>
        <v>10743.028570395385</v>
      </c>
      <c r="Z181" s="1533">
        <f t="shared" si="145"/>
        <v>2238.7918742794518</v>
      </c>
      <c r="AA181" s="1533">
        <f t="shared" si="146"/>
        <v>0</v>
      </c>
      <c r="AB181" s="1533">
        <f t="shared" si="147"/>
        <v>10902.806532330944</v>
      </c>
      <c r="AC181" s="1533">
        <f t="shared" si="148"/>
        <v>68370.437402955795</v>
      </c>
      <c r="AD181" s="1005">
        <f t="shared" si="149"/>
        <v>0</v>
      </c>
      <c r="AE181" s="649">
        <f t="shared" si="150"/>
        <v>0.65065856115214504</v>
      </c>
      <c r="AF181" s="417">
        <f t="shared" si="151"/>
        <v>0.1571297329440654</v>
      </c>
      <c r="AG181" s="417">
        <f t="shared" si="152"/>
        <v>3.2745027812015493E-2</v>
      </c>
      <c r="AH181" s="417">
        <f t="shared" si="165"/>
        <v>0</v>
      </c>
      <c r="AI181" s="417">
        <f t="shared" si="153"/>
        <v>0.15946667809177412</v>
      </c>
      <c r="AJ181" s="417">
        <f t="shared" si="154"/>
        <v>1</v>
      </c>
      <c r="AK181" s="1499">
        <f t="shared" si="155"/>
        <v>39486.835160338058</v>
      </c>
      <c r="AL181" s="1500">
        <f t="shared" si="156"/>
        <v>4788.2153741274924</v>
      </c>
      <c r="AM181" s="1500">
        <f t="shared" si="157"/>
        <v>210.7598914844657</v>
      </c>
      <c r="AN181" s="1500">
        <f t="shared" si="158"/>
        <v>44485.810425950018</v>
      </c>
      <c r="AO181" s="1186">
        <f t="shared" si="159"/>
        <v>0</v>
      </c>
    </row>
    <row r="182" spans="1:41">
      <c r="A182" s="100">
        <f>'Input data'!A122</f>
        <v>2022</v>
      </c>
      <c r="B182" s="1508">
        <f>'Input data'!B122</f>
        <v>60.682000000000002</v>
      </c>
      <c r="C182" s="1509">
        <f>'Input data'!C122</f>
        <v>3077.2</v>
      </c>
      <c r="D182" s="1509">
        <f>'Input data'!E122</f>
        <v>45903210.392984279</v>
      </c>
      <c r="E182" s="1510">
        <f>'Input data'!J122*C182</f>
        <v>36986.003909303676</v>
      </c>
      <c r="F182" s="1511">
        <f>'Input data'!L122</f>
        <v>82889.214302287961</v>
      </c>
      <c r="G182" s="1512">
        <f>G177*(1-E4)</f>
        <v>34219.854173807704</v>
      </c>
      <c r="H182" s="1511">
        <f t="shared" si="160"/>
        <v>30080.949799100847</v>
      </c>
      <c r="I182" s="1513">
        <f t="shared" si="135"/>
        <v>45903.210392984278</v>
      </c>
      <c r="J182" s="1456">
        <f t="shared" si="161"/>
        <v>0.19172168528933303</v>
      </c>
      <c r="K182" s="1514">
        <f t="shared" si="162"/>
        <v>5975.4020627874625</v>
      </c>
      <c r="L182" s="1514">
        <f t="shared" si="136"/>
        <v>0</v>
      </c>
      <c r="M182" s="1513">
        <f t="shared" si="163"/>
        <v>5975.4020627874625</v>
      </c>
      <c r="N182" s="1456">
        <f>$E$26</f>
        <v>0.5</v>
      </c>
      <c r="O182" s="1513">
        <f t="shared" si="137"/>
        <v>751.91700000000026</v>
      </c>
      <c r="P182" s="1483">
        <f t="shared" si="166"/>
        <v>6727.3190627874628</v>
      </c>
      <c r="Q182" s="1366">
        <f t="shared" si="138"/>
        <v>57573.484910121086</v>
      </c>
      <c r="R182" s="1366">
        <f t="shared" si="164"/>
        <v>23353.630736313382</v>
      </c>
      <c r="S182" s="1516">
        <f t="shared" si="139"/>
        <v>1.1408200517560803</v>
      </c>
      <c r="T182" s="135" t="str">
        <f t="shared" si="140"/>
        <v>No</v>
      </c>
      <c r="U182" s="1528">
        <f t="shared" si="141"/>
        <v>1</v>
      </c>
      <c r="V182" s="1496">
        <f t="shared" si="142"/>
        <v>62418.298928417367</v>
      </c>
      <c r="W182" s="1493">
        <f>(1-V182/F182)</f>
        <v>0.24696717837396054</v>
      </c>
      <c r="X182" s="527">
        <f t="shared" si="143"/>
        <v>37102.569536250499</v>
      </c>
      <c r="Y182" s="1511">
        <f t="shared" si="144"/>
        <v>11762.411300432748</v>
      </c>
      <c r="Z182" s="1533">
        <f t="shared" si="145"/>
        <v>2423.2959109577191</v>
      </c>
      <c r="AA182" s="1533">
        <f t="shared" si="146"/>
        <v>0</v>
      </c>
      <c r="AB182" s="1533">
        <f t="shared" si="147"/>
        <v>11130.022180776405</v>
      </c>
      <c r="AC182" s="1533">
        <f t="shared" si="148"/>
        <v>62418.298928417367</v>
      </c>
      <c r="AD182" s="1005">
        <f t="shared" si="149"/>
        <v>2882.7153624427956</v>
      </c>
      <c r="AE182" s="649">
        <f t="shared" si="150"/>
        <v>0.59441814617217481</v>
      </c>
      <c r="AF182" s="417">
        <f t="shared" si="151"/>
        <v>0.1884449192362985</v>
      </c>
      <c r="AG182" s="417">
        <f t="shared" si="152"/>
        <v>3.8823485300950068E-2</v>
      </c>
      <c r="AH182" s="417">
        <f t="shared" si="165"/>
        <v>0</v>
      </c>
      <c r="AI182" s="417">
        <f t="shared" si="153"/>
        <v>0.17831344929057663</v>
      </c>
      <c r="AJ182" s="417">
        <f t="shared" si="154"/>
        <v>1</v>
      </c>
      <c r="AK182" s="1499">
        <f t="shared" si="155"/>
        <v>37102.569536250507</v>
      </c>
      <c r="AL182" s="1500">
        <f t="shared" si="156"/>
        <v>0</v>
      </c>
      <c r="AM182" s="1500">
        <f t="shared" si="157"/>
        <v>0</v>
      </c>
      <c r="AN182" s="1500">
        <f t="shared" si="158"/>
        <v>37102.569536250507</v>
      </c>
      <c r="AO182" s="1186">
        <f t="shared" si="159"/>
        <v>0</v>
      </c>
    </row>
    <row r="183" spans="1:41">
      <c r="A183" s="100">
        <f>'Input data'!A123</f>
        <v>2023</v>
      </c>
      <c r="B183" s="1508">
        <f>'Input data'!B123</f>
        <v>61.381</v>
      </c>
      <c r="C183" s="1509">
        <f>'Input data'!C123</f>
        <v>3140.61</v>
      </c>
      <c r="D183" s="1509">
        <f>'Input data'!E123</f>
        <v>44745286.877069645</v>
      </c>
      <c r="E183" s="1510">
        <f>'Input data'!J123*C183</f>
        <v>37748.152131027629</v>
      </c>
      <c r="F183" s="1511">
        <f>'Input data'!L123</f>
        <v>82493.439008097281</v>
      </c>
      <c r="G183" s="1512">
        <f>($G$147-$G$142)/($A$147-$A$142)+G182</f>
        <v>32166.662923379241</v>
      </c>
      <c r="H183" s="1511">
        <f t="shared" si="160"/>
        <v>31484.811183407372</v>
      </c>
      <c r="I183" s="1513">
        <f t="shared" si="135"/>
        <v>44745.286877069644</v>
      </c>
      <c r="J183" s="1456">
        <f t="shared" si="161"/>
        <v>0.21775647462816641</v>
      </c>
      <c r="K183" s="1514">
        <f t="shared" si="162"/>
        <v>6989.6047065010425</v>
      </c>
      <c r="L183" s="1514">
        <f t="shared" si="136"/>
        <v>0</v>
      </c>
      <c r="M183" s="1513">
        <f t="shared" si="163"/>
        <v>6989.6047065010425</v>
      </c>
      <c r="N183" s="1456">
        <f>($N$147-$N$142)/($A$107-$A$102)+N182</f>
        <v>0.5</v>
      </c>
      <c r="O183" s="1513">
        <f t="shared" si="137"/>
        <v>751.91700000000026</v>
      </c>
      <c r="P183" s="1483">
        <f t="shared" si="166"/>
        <v>7741.5217065010429</v>
      </c>
      <c r="Q183" s="1366">
        <f t="shared" si="138"/>
        <v>55909.952400285569</v>
      </c>
      <c r="R183" s="1366">
        <f t="shared" si="164"/>
        <v>23743.289476906328</v>
      </c>
      <c r="S183" s="1516">
        <f t="shared" si="139"/>
        <v>1.13559476218608</v>
      </c>
      <c r="T183" s="135" t="str">
        <f t="shared" si="140"/>
        <v>No</v>
      </c>
      <c r="U183" s="1528">
        <f t="shared" si="141"/>
        <v>1</v>
      </c>
      <c r="V183" s="1496">
        <f t="shared" si="142"/>
        <v>61585.197558304717</v>
      </c>
      <c r="W183" s="1493">
        <f t="shared" si="134"/>
        <v>0.25345338612614121</v>
      </c>
      <c r="X183" s="527">
        <f t="shared" si="143"/>
        <v>35001.710950493005</v>
      </c>
      <c r="Y183" s="1511">
        <f t="shared" si="144"/>
        <v>12766.377783194815</v>
      </c>
      <c r="Z183" s="1533">
        <f t="shared" si="145"/>
        <v>2457.7370057009366</v>
      </c>
      <c r="AA183" s="1533">
        <f t="shared" si="146"/>
        <v>0</v>
      </c>
      <c r="AB183" s="1533">
        <f t="shared" si="147"/>
        <v>11359.371818915957</v>
      </c>
      <c r="AC183" s="1533">
        <f t="shared" si="148"/>
        <v>61585.197558304717</v>
      </c>
      <c r="AD183" s="1005">
        <f t="shared" si="149"/>
        <v>2835.048027113764</v>
      </c>
      <c r="AE183" s="649">
        <f t="shared" si="150"/>
        <v>0.56834616658257442</v>
      </c>
      <c r="AF183" s="417">
        <f t="shared" si="151"/>
        <v>0.20729620573366625</v>
      </c>
      <c r="AG183" s="417">
        <f t="shared" si="152"/>
        <v>3.9907917862472012E-2</v>
      </c>
      <c r="AH183" s="417">
        <f t="shared" si="165"/>
        <v>0</v>
      </c>
      <c r="AI183" s="417">
        <f t="shared" si="153"/>
        <v>0.18444970982128731</v>
      </c>
      <c r="AJ183" s="417">
        <f t="shared" si="154"/>
        <v>1</v>
      </c>
      <c r="AK183" s="1499">
        <f t="shared" si="155"/>
        <v>35001.710950492998</v>
      </c>
      <c r="AL183" s="1500">
        <f t="shared" si="156"/>
        <v>0</v>
      </c>
      <c r="AM183" s="1500">
        <f t="shared" si="157"/>
        <v>0</v>
      </c>
      <c r="AN183" s="1500">
        <f t="shared" si="158"/>
        <v>35001.710950492998</v>
      </c>
      <c r="AO183" s="1186">
        <f t="shared" si="159"/>
        <v>0</v>
      </c>
    </row>
    <row r="184" spans="1:41">
      <c r="A184" s="100">
        <f>'Input data'!A124</f>
        <v>2024</v>
      </c>
      <c r="B184" s="1508">
        <f>'Input data'!B124</f>
        <v>62.088000000000001</v>
      </c>
      <c r="C184" s="1509">
        <f>'Input data'!C124</f>
        <v>3201.77</v>
      </c>
      <c r="D184" s="1509">
        <f>'Input data'!E124</f>
        <v>43251251.992583826</v>
      </c>
      <c r="E184" s="1510">
        <f>'Input data'!J124*C184</f>
        <v>38483.256771315231</v>
      </c>
      <c r="F184" s="1511">
        <f>'Input data'!L124</f>
        <v>81734.508763899066</v>
      </c>
      <c r="G184" s="1512">
        <f t="shared" ref="G184:G186" si="167">($G$147-$G$142)/($A$147-$A$142)+G183</f>
        <v>30113.471672950778</v>
      </c>
      <c r="H184" s="1511">
        <f t="shared" si="160"/>
        <v>32557.730294222958</v>
      </c>
      <c r="I184" s="1513">
        <f t="shared" si="135"/>
        <v>43251.251992583828</v>
      </c>
      <c r="J184" s="1456">
        <f t="shared" si="161"/>
        <v>0.24379126396699979</v>
      </c>
      <c r="K184" s="1514">
        <f t="shared" si="162"/>
        <v>7882.2606398740209</v>
      </c>
      <c r="L184" s="1514">
        <f t="shared" si="136"/>
        <v>0</v>
      </c>
      <c r="M184" s="1513">
        <f t="shared" si="163"/>
        <v>7882.2606398740209</v>
      </c>
      <c r="N184" s="1456">
        <f>($N$147-$N$142)/($A$107-$A$102)+N183</f>
        <v>0.5</v>
      </c>
      <c r="O184" s="1513">
        <f t="shared" si="137"/>
        <v>751.91700000000026</v>
      </c>
      <c r="P184" s="1483">
        <f t="shared" si="166"/>
        <v>8634.1776398740203</v>
      </c>
      <c r="Q184" s="1366">
        <f t="shared" si="138"/>
        <v>54037.024327299718</v>
      </c>
      <c r="R184" s="1366">
        <f t="shared" si="164"/>
        <v>23923.55265434894</v>
      </c>
      <c r="S184" s="1516">
        <f t="shared" si="139"/>
        <v>1.1215891646528653</v>
      </c>
      <c r="T184" s="135" t="str">
        <f t="shared" si="140"/>
        <v>No</v>
      </c>
      <c r="U184" s="1528">
        <f t="shared" si="141"/>
        <v>1</v>
      </c>
      <c r="V184" s="1496">
        <f t="shared" si="142"/>
        <v>60404.459037755943</v>
      </c>
      <c r="W184" s="1493">
        <f t="shared" si="134"/>
        <v>0.26096749156170729</v>
      </c>
      <c r="X184" s="527">
        <f t="shared" si="143"/>
        <v>32706.974601156599</v>
      </c>
      <c r="Y184" s="1511">
        <f t="shared" si="144"/>
        <v>13625.94506123162</v>
      </c>
      <c r="Z184" s="1533">
        <f t="shared" si="145"/>
        <v>2490.9560146032422</v>
      </c>
      <c r="AA184" s="1533">
        <f t="shared" si="146"/>
        <v>0</v>
      </c>
      <c r="AB184" s="1533">
        <f t="shared" si="147"/>
        <v>11580.583360764484</v>
      </c>
      <c r="AC184" s="1533">
        <f t="shared" si="148"/>
        <v>60404.459037755943</v>
      </c>
      <c r="AD184" s="1005">
        <f t="shared" si="149"/>
        <v>2593.5029282058204</v>
      </c>
      <c r="AE184" s="649">
        <f t="shared" si="150"/>
        <v>0.54146622819207813</v>
      </c>
      <c r="AF184" s="417">
        <f t="shared" si="151"/>
        <v>0.22557846354877034</v>
      </c>
      <c r="AG184" s="417">
        <f t="shared" si="152"/>
        <v>4.1237949222362284E-2</v>
      </c>
      <c r="AH184" s="417">
        <f t="shared" si="165"/>
        <v>0</v>
      </c>
      <c r="AI184" s="417">
        <f t="shared" si="153"/>
        <v>0.19171735903678921</v>
      </c>
      <c r="AJ184" s="417">
        <f t="shared" si="154"/>
        <v>0.99999999999999989</v>
      </c>
      <c r="AK184" s="1499">
        <f t="shared" si="155"/>
        <v>32706.974601156599</v>
      </c>
      <c r="AL184" s="1500">
        <f t="shared" si="156"/>
        <v>0</v>
      </c>
      <c r="AM184" s="1500">
        <f t="shared" si="157"/>
        <v>0</v>
      </c>
      <c r="AN184" s="1500">
        <f t="shared" si="158"/>
        <v>32706.974601156599</v>
      </c>
      <c r="AO184" s="1186">
        <f t="shared" si="159"/>
        <v>0</v>
      </c>
    </row>
    <row r="185" spans="1:41">
      <c r="A185" s="100">
        <f>'Input data'!A125</f>
        <v>2025</v>
      </c>
      <c r="B185" s="1508">
        <f>'Input data'!B125</f>
        <v>62.802999999999997</v>
      </c>
      <c r="C185" s="1509">
        <f>'Input data'!C125</f>
        <v>3265.54</v>
      </c>
      <c r="D185" s="1509">
        <f>'Input data'!E125</f>
        <v>40955103.194912732</v>
      </c>
      <c r="E185" s="1510">
        <f>'Input data'!J125*C185</f>
        <v>39249.731966068997</v>
      </c>
      <c r="F185" s="1511">
        <f>'Input data'!L125</f>
        <v>80204.835160981718</v>
      </c>
      <c r="G185" s="1512">
        <f t="shared" si="167"/>
        <v>28060.280422522315</v>
      </c>
      <c r="H185" s="1511">
        <f t="shared" si="160"/>
        <v>32895.9044368084</v>
      </c>
      <c r="I185" s="1513">
        <f t="shared" si="135"/>
        <v>40955.103194912728</v>
      </c>
      <c r="J185" s="1456">
        <f t="shared" si="161"/>
        <v>0.26982605330583315</v>
      </c>
      <c r="K185" s="1514">
        <f t="shared" si="162"/>
        <v>8530.0598722378763</v>
      </c>
      <c r="L185" s="1514">
        <f t="shared" si="136"/>
        <v>0</v>
      </c>
      <c r="M185" s="1513">
        <f t="shared" si="163"/>
        <v>8530.0598722378763</v>
      </c>
      <c r="N185" s="1456">
        <f>($N$147-$N$142)/($A$107-$A$102)+N184</f>
        <v>0.5</v>
      </c>
      <c r="O185" s="1513">
        <f t="shared" si="137"/>
        <v>751.91700000000026</v>
      </c>
      <c r="P185" s="1483">
        <f t="shared" si="166"/>
        <v>9281.9768722378758</v>
      </c>
      <c r="Q185" s="1366">
        <f t="shared" si="138"/>
        <v>51674.207987092843</v>
      </c>
      <c r="R185" s="1366">
        <f t="shared" si="164"/>
        <v>23613.927564570527</v>
      </c>
      <c r="S185" s="1516">
        <f t="shared" si="139"/>
        <v>1.084707436287111</v>
      </c>
      <c r="T185" s="135" t="str">
        <f t="shared" si="140"/>
        <v>No</v>
      </c>
      <c r="U185" s="1528">
        <f t="shared" si="141"/>
        <v>1</v>
      </c>
      <c r="V185" s="1496">
        <f t="shared" si="142"/>
        <v>58434.976510985194</v>
      </c>
      <c r="W185" s="1493">
        <f t="shared" si="134"/>
        <v>0.27142825748973287</v>
      </c>
      <c r="X185" s="527">
        <f t="shared" si="143"/>
        <v>29904.349337096308</v>
      </c>
      <c r="Y185" s="1511">
        <f t="shared" si="144"/>
        <v>14193.799436497282</v>
      </c>
      <c r="Z185" s="1533">
        <f t="shared" si="145"/>
        <v>2525.5926430810055</v>
      </c>
      <c r="AA185" s="1533">
        <f t="shared" si="146"/>
        <v>0</v>
      </c>
      <c r="AB185" s="1533">
        <f t="shared" si="147"/>
        <v>11811.235094310599</v>
      </c>
      <c r="AC185" s="1533">
        <f t="shared" si="148"/>
        <v>58434.976510985194</v>
      </c>
      <c r="AD185" s="1005">
        <f t="shared" si="149"/>
        <v>1844.0689145739925</v>
      </c>
      <c r="AE185" s="649">
        <f t="shared" si="150"/>
        <v>0.51175428010096979</v>
      </c>
      <c r="AF185" s="417">
        <f t="shared" si="151"/>
        <v>0.24289903554301914</v>
      </c>
      <c r="AG185" s="417">
        <f t="shared" si="152"/>
        <v>4.3220564016248374E-2</v>
      </c>
      <c r="AH185" s="417">
        <f t="shared" si="165"/>
        <v>0</v>
      </c>
      <c r="AI185" s="417">
        <f t="shared" si="153"/>
        <v>0.20212612033976268</v>
      </c>
      <c r="AJ185" s="417">
        <f t="shared" si="154"/>
        <v>1</v>
      </c>
      <c r="AK185" s="1499">
        <f t="shared" si="155"/>
        <v>29904.349337096304</v>
      </c>
      <c r="AL185" s="1500">
        <f t="shared" si="156"/>
        <v>0</v>
      </c>
      <c r="AM185" s="1500">
        <f t="shared" si="157"/>
        <v>0</v>
      </c>
      <c r="AN185" s="1500">
        <f t="shared" si="158"/>
        <v>29904.349337096304</v>
      </c>
      <c r="AO185" s="1186">
        <f t="shared" si="159"/>
        <v>0</v>
      </c>
    </row>
    <row r="186" spans="1:41">
      <c r="A186" s="100">
        <f>'Input data'!A126</f>
        <v>2026</v>
      </c>
      <c r="B186" s="1508">
        <f>'Input data'!B126</f>
        <v>63.420999999999999</v>
      </c>
      <c r="C186" s="1509">
        <f>'Input data'!C126</f>
        <v>3341.28</v>
      </c>
      <c r="D186" s="1509">
        <f>'Input data'!E126</f>
        <v>39969673.998818383</v>
      </c>
      <c r="E186" s="1510">
        <f>'Input data'!J126*C186</f>
        <v>40160.079014064147</v>
      </c>
      <c r="F186" s="1511">
        <f>'Input data'!L126</f>
        <v>80129.753012882531</v>
      </c>
      <c r="G186" s="1512">
        <f t="shared" si="167"/>
        <v>26007.089172093853</v>
      </c>
      <c r="H186" s="1511">
        <f t="shared" si="160"/>
        <v>34546.681047281214</v>
      </c>
      <c r="I186" s="1513">
        <f t="shared" si="135"/>
        <v>39969.673998818384</v>
      </c>
      <c r="J186" s="1456">
        <f t="shared" si="161"/>
        <v>0.2958608426446665</v>
      </c>
      <c r="K186" s="1514">
        <f t="shared" si="162"/>
        <v>9365.4183825097407</v>
      </c>
      <c r="L186" s="1514">
        <f t="shared" si="136"/>
        <v>0</v>
      </c>
      <c r="M186" s="1513">
        <f t="shared" si="163"/>
        <v>9365.4183825097407</v>
      </c>
      <c r="N186" s="1456">
        <f>($N$147-$N$142)/($A$107-$A$102)+N185</f>
        <v>0.5</v>
      </c>
      <c r="O186" s="1513">
        <f t="shared" si="137"/>
        <v>751.91700000000026</v>
      </c>
      <c r="P186" s="1483">
        <f t="shared" si="166"/>
        <v>10117.33538250974</v>
      </c>
      <c r="Q186" s="1366">
        <f t="shared" si="138"/>
        <v>50436.43483686533</v>
      </c>
      <c r="R186" s="1366">
        <f t="shared" si="164"/>
        <v>24429.345664771477</v>
      </c>
      <c r="S186" s="1516">
        <f t="shared" si="139"/>
        <v>1.0958685666933496</v>
      </c>
      <c r="T186" s="135" t="str">
        <f t="shared" si="140"/>
        <v>No</v>
      </c>
      <c r="U186" s="1528">
        <f t="shared" si="141"/>
        <v>1</v>
      </c>
      <c r="V186" s="1496">
        <f t="shared" si="142"/>
        <v>57837.530745312572</v>
      </c>
      <c r="W186" s="1493">
        <f t="shared" si="134"/>
        <v>0.27820155971260785</v>
      </c>
      <c r="X186" s="527">
        <f t="shared" si="143"/>
        <v>28144.21256929536</v>
      </c>
      <c r="Y186" s="1511">
        <f t="shared" si="144"/>
        <v>15041.40590765981</v>
      </c>
      <c r="Z186" s="1533">
        <f t="shared" si="145"/>
        <v>2566.7307682324217</v>
      </c>
      <c r="AA186" s="1533">
        <f t="shared" si="146"/>
        <v>0</v>
      </c>
      <c r="AB186" s="1533">
        <f t="shared" si="147"/>
        <v>12085.18150012498</v>
      </c>
      <c r="AC186" s="1533">
        <f t="shared" si="148"/>
        <v>57837.530745312572</v>
      </c>
      <c r="AD186" s="1005">
        <f t="shared" si="149"/>
        <v>2137.123397201507</v>
      </c>
      <c r="AE186" s="1456">
        <f t="shared" si="150"/>
        <v>0.48660812808949838</v>
      </c>
      <c r="AF186" s="1506">
        <f t="shared" si="151"/>
        <v>0.26006307174306253</v>
      </c>
      <c r="AG186" s="1506">
        <f t="shared" si="152"/>
        <v>4.4378290967071445E-2</v>
      </c>
      <c r="AH186" s="1506">
        <f t="shared" si="165"/>
        <v>0</v>
      </c>
      <c r="AI186" s="1506">
        <f t="shared" si="153"/>
        <v>0.20895050920036762</v>
      </c>
      <c r="AJ186" s="1506">
        <f t="shared" si="154"/>
        <v>1</v>
      </c>
      <c r="AK186" s="1557">
        <f t="shared" si="155"/>
        <v>28144.212569295356</v>
      </c>
      <c r="AL186" s="1558">
        <f t="shared" si="156"/>
        <v>0</v>
      </c>
      <c r="AM186" s="1558">
        <f t="shared" si="157"/>
        <v>0</v>
      </c>
      <c r="AN186" s="1558">
        <f t="shared" si="158"/>
        <v>28144.212569295356</v>
      </c>
      <c r="AO186" s="1545">
        <f t="shared" si="159"/>
        <v>0</v>
      </c>
    </row>
    <row r="187" spans="1:41">
      <c r="A187" s="100">
        <f>'Input data'!A127</f>
        <v>2027</v>
      </c>
      <c r="B187" s="1508">
        <f>'Input data'!B127</f>
        <v>64.046000000000006</v>
      </c>
      <c r="C187" s="1509">
        <f>'Input data'!C127</f>
        <v>3416.2799999999997</v>
      </c>
      <c r="D187" s="1509">
        <f>'Input data'!E127</f>
        <v>38984244.802724026</v>
      </c>
      <c r="E187" s="1510">
        <f>'Input data'!J127*C187</f>
        <v>41061.531728609109</v>
      </c>
      <c r="F187" s="1511">
        <f>'Input data'!L127</f>
        <v>80045.776531333133</v>
      </c>
      <c r="G187" s="1512">
        <f>G177*(1-E5)</f>
        <v>23953.89792166539</v>
      </c>
      <c r="H187" s="1511">
        <f t="shared" si="160"/>
        <v>36192.354025894958</v>
      </c>
      <c r="I187" s="1513">
        <f t="shared" si="135"/>
        <v>38984.244802724024</v>
      </c>
      <c r="J187" s="1456">
        <f t="shared" si="161"/>
        <v>0.32189563198349985</v>
      </c>
      <c r="K187" s="1514">
        <f t="shared" si="162"/>
        <v>10149.466009724298</v>
      </c>
      <c r="L187" s="1514">
        <f t="shared" si="136"/>
        <v>0</v>
      </c>
      <c r="M187" s="1513">
        <f t="shared" si="163"/>
        <v>10149.466009724298</v>
      </c>
      <c r="N187" s="1456">
        <f>$C$27</f>
        <v>0.5</v>
      </c>
      <c r="O187" s="1513">
        <f t="shared" si="137"/>
        <v>751.91700000000026</v>
      </c>
      <c r="P187" s="1483">
        <f t="shared" si="166"/>
        <v>10901.383009724297</v>
      </c>
      <c r="Q187" s="1366">
        <f t="shared" si="138"/>
        <v>49244.86893783605</v>
      </c>
      <c r="R187" s="1366">
        <f t="shared" si="164"/>
        <v>25290.971016170661</v>
      </c>
      <c r="S187" s="1516">
        <f t="shared" si="139"/>
        <v>1.108791981130085</v>
      </c>
      <c r="T187" s="135" t="str">
        <f t="shared" si="140"/>
        <v>No</v>
      </c>
      <c r="U187" s="1528">
        <f t="shared" si="141"/>
        <v>1</v>
      </c>
      <c r="V187" s="1496">
        <f t="shared" si="142"/>
        <v>57236.294278048801</v>
      </c>
      <c r="W187" s="1493">
        <f t="shared" si="134"/>
        <v>0.28495547475082317</v>
      </c>
      <c r="X187" s="527">
        <f t="shared" si="143"/>
        <v>26435.386684551708</v>
      </c>
      <c r="Y187" s="1511">
        <f t="shared" si="144"/>
        <v>15836.989254075068</v>
      </c>
      <c r="Z187" s="1533">
        <f t="shared" si="145"/>
        <v>2607.4669629294931</v>
      </c>
      <c r="AA187" s="1533">
        <f t="shared" si="146"/>
        <v>0</v>
      </c>
      <c r="AB187" s="1533">
        <f t="shared" si="147"/>
        <v>12356.45137649253</v>
      </c>
      <c r="AC187" s="1533">
        <f t="shared" si="148"/>
        <v>57236.294278048801</v>
      </c>
      <c r="AD187" s="1005">
        <f t="shared" si="149"/>
        <v>2481.488762886318</v>
      </c>
      <c r="AE187" s="1456">
        <f t="shared" si="150"/>
        <v>0.46186405004018888</v>
      </c>
      <c r="AF187" s="1506">
        <f t="shared" si="151"/>
        <v>0.27669487435962203</v>
      </c>
      <c r="AG187" s="1506">
        <f t="shared" si="152"/>
        <v>4.5556180668557114E-2</v>
      </c>
      <c r="AH187" s="1506">
        <f t="shared" si="165"/>
        <v>0</v>
      </c>
      <c r="AI187" s="1506">
        <f t="shared" si="153"/>
        <v>0.2158848949316319</v>
      </c>
      <c r="AJ187" s="1506">
        <f t="shared" si="154"/>
        <v>1</v>
      </c>
      <c r="AK187" s="1557">
        <f t="shared" si="155"/>
        <v>26435.386684551704</v>
      </c>
      <c r="AL187" s="1558">
        <f t="shared" si="156"/>
        <v>0</v>
      </c>
      <c r="AM187" s="1558">
        <f t="shared" si="157"/>
        <v>0</v>
      </c>
      <c r="AN187" s="1558">
        <f t="shared" si="158"/>
        <v>26435.386684551704</v>
      </c>
      <c r="AO187" s="1545">
        <f t="shared" si="159"/>
        <v>0</v>
      </c>
    </row>
    <row r="188" spans="1:41">
      <c r="A188" s="100">
        <f>'Input data'!A128</f>
        <v>2028</v>
      </c>
      <c r="B188" s="1508">
        <f>'Input data'!B128</f>
        <v>64.676000000000002</v>
      </c>
      <c r="C188" s="1509">
        <f>'Input data'!C128</f>
        <v>3494.8800000000006</v>
      </c>
      <c r="D188" s="1509">
        <f>'Input data'!E128</f>
        <v>37998815.60662967</v>
      </c>
      <c r="E188" s="1510">
        <f>'Input data'!J128*C188</f>
        <v>42006.254173452246</v>
      </c>
      <c r="F188" s="1511">
        <f>'Input data'!L128</f>
        <v>80005.069780081918</v>
      </c>
      <c r="G188" s="1512">
        <f>($G$152-$G$147)/($A$152-$A$147)+G187</f>
        <v>21900.706671236927</v>
      </c>
      <c r="H188" s="1511">
        <f t="shared" si="160"/>
        <v>37862.855483823005</v>
      </c>
      <c r="I188" s="1513">
        <f t="shared" si="135"/>
        <v>37998.815606629672</v>
      </c>
      <c r="J188" s="1456">
        <f t="shared" si="161"/>
        <v>0.34793042132233321</v>
      </c>
      <c r="K188" s="1514">
        <f t="shared" si="162"/>
        <v>10882.202753881549</v>
      </c>
      <c r="L188" s="1514">
        <f t="shared" si="136"/>
        <v>0</v>
      </c>
      <c r="M188" s="1513">
        <f t="shared" si="163"/>
        <v>10882.202753881549</v>
      </c>
      <c r="N188" s="1456">
        <f>N187</f>
        <v>0.5</v>
      </c>
      <c r="O188" s="1513">
        <f t="shared" si="137"/>
        <v>751.91700000000026</v>
      </c>
      <c r="P188" s="1483">
        <f t="shared" si="166"/>
        <v>11634.119753881549</v>
      </c>
      <c r="Q188" s="1366">
        <f t="shared" si="138"/>
        <v>48129.442401178385</v>
      </c>
      <c r="R188" s="1366">
        <f t="shared" si="164"/>
        <v>26228.735729941458</v>
      </c>
      <c r="S188" s="1516">
        <f t="shared" si="139"/>
        <v>1.1232107701162932</v>
      </c>
      <c r="T188" s="135" t="str">
        <f t="shared" si="140"/>
        <v>No</v>
      </c>
      <c r="U188" s="1528">
        <f t="shared" si="141"/>
        <v>1</v>
      </c>
      <c r="V188" s="1496">
        <f t="shared" si="142"/>
        <v>56653.499061768904</v>
      </c>
      <c r="W188" s="1493">
        <f t="shared" si="134"/>
        <v>0.29187613713108251</v>
      </c>
      <c r="X188" s="527">
        <f t="shared" si="143"/>
        <v>24777.87168286536</v>
      </c>
      <c r="Y188" s="1511">
        <f t="shared" si="144"/>
        <v>16584.72667700579</v>
      </c>
      <c r="Z188" s="1533">
        <f t="shared" si="145"/>
        <v>2650.1584949720245</v>
      </c>
      <c r="AA188" s="1533">
        <f t="shared" si="146"/>
        <v>0</v>
      </c>
      <c r="AB188" s="1533">
        <f t="shared" si="147"/>
        <v>12640.742206925726</v>
      </c>
      <c r="AC188" s="1533">
        <f t="shared" si="148"/>
        <v>56653.499061768904</v>
      </c>
      <c r="AD188" s="1005">
        <f t="shared" si="149"/>
        <v>2877.1650116284327</v>
      </c>
      <c r="AE188" s="1456">
        <f t="shared" si="150"/>
        <v>0.4373581878120224</v>
      </c>
      <c r="AF188" s="1506">
        <f t="shared" si="151"/>
        <v>0.29273967101173365</v>
      </c>
      <c r="AG188" s="1506">
        <f t="shared" si="152"/>
        <v>4.6778372719442726E-2</v>
      </c>
      <c r="AH188" s="1506">
        <f t="shared" si="165"/>
        <v>0</v>
      </c>
      <c r="AI188" s="1506">
        <f t="shared" si="153"/>
        <v>0.22312376845680115</v>
      </c>
      <c r="AJ188" s="1506">
        <f t="shared" si="154"/>
        <v>1</v>
      </c>
      <c r="AK188" s="1557">
        <f t="shared" si="155"/>
        <v>24777.87168286536</v>
      </c>
      <c r="AL188" s="1558">
        <f t="shared" si="156"/>
        <v>0</v>
      </c>
      <c r="AM188" s="1558">
        <f t="shared" si="157"/>
        <v>0</v>
      </c>
      <c r="AN188" s="1558">
        <f t="shared" si="158"/>
        <v>24777.87168286536</v>
      </c>
      <c r="AO188" s="1545">
        <f t="shared" si="159"/>
        <v>0</v>
      </c>
    </row>
    <row r="189" spans="1:41">
      <c r="A189" s="100">
        <f>'Input data'!A129</f>
        <v>2029</v>
      </c>
      <c r="B189" s="1508">
        <f>'Input data'!B129</f>
        <v>65.313000000000002</v>
      </c>
      <c r="C189" s="1509">
        <f>'Input data'!C129</f>
        <v>3576.08</v>
      </c>
      <c r="D189" s="1509">
        <f>'Input data'!E129</f>
        <v>37013386.410535313</v>
      </c>
      <c r="E189" s="1510">
        <f>'Input data'!J129*C189</f>
        <v>42982.226979066254</v>
      </c>
      <c r="F189" s="1511">
        <f>'Input data'!L129</f>
        <v>79995.613389601567</v>
      </c>
      <c r="G189" s="1512">
        <f t="shared" ref="G189:G191" si="168">($G$152-$G$147)/($A$152-$A$147)+G188</f>
        <v>19847.515420808464</v>
      </c>
      <c r="H189" s="1511">
        <f t="shared" si="160"/>
        <v>39551.288621255801</v>
      </c>
      <c r="I189" s="1513">
        <f t="shared" si="135"/>
        <v>37013.386410535313</v>
      </c>
      <c r="J189" s="1456">
        <f t="shared" si="161"/>
        <v>0.37396521066116656</v>
      </c>
      <c r="K189" s="1514">
        <f t="shared" si="162"/>
        <v>11563.628614981495</v>
      </c>
      <c r="L189" s="1514">
        <f t="shared" si="136"/>
        <v>0</v>
      </c>
      <c r="M189" s="1513">
        <f t="shared" si="163"/>
        <v>11563.628614981495</v>
      </c>
      <c r="N189" s="1456">
        <f t="shared" ref="N189:N210" si="169">N188</f>
        <v>0.5</v>
      </c>
      <c r="O189" s="1513">
        <f t="shared" si="137"/>
        <v>751.91700000000026</v>
      </c>
      <c r="P189" s="1483">
        <f t="shared" si="166"/>
        <v>12315.545614981495</v>
      </c>
      <c r="Q189" s="1366">
        <f t="shared" si="138"/>
        <v>47083.258427082772</v>
      </c>
      <c r="R189" s="1366">
        <f t="shared" si="164"/>
        <v>27235.743006274308</v>
      </c>
      <c r="S189" s="1516">
        <f t="shared" si="139"/>
        <v>1.1390184435027648</v>
      </c>
      <c r="T189" s="135" t="str">
        <f t="shared" si="140"/>
        <v>No</v>
      </c>
      <c r="U189" s="1528">
        <f t="shared" si="141"/>
        <v>1</v>
      </c>
      <c r="V189" s="1496">
        <f t="shared" si="142"/>
        <v>56084.022526755114</v>
      </c>
      <c r="W189" s="1493">
        <f t="shared" si="134"/>
        <v>0.29891127587696775</v>
      </c>
      <c r="X189" s="527">
        <f t="shared" si="143"/>
        <v>23171.667564236312</v>
      </c>
      <c r="Y189" s="1511">
        <f t="shared" si="144"/>
        <v>17283.655687681759</v>
      </c>
      <c r="Z189" s="1533">
        <f t="shared" si="145"/>
        <v>2694.2622150973871</v>
      </c>
      <c r="AA189" s="1533">
        <f t="shared" si="146"/>
        <v>0</v>
      </c>
      <c r="AB189" s="1533">
        <f t="shared" si="147"/>
        <v>12934.437059739659</v>
      </c>
      <c r="AC189" s="1533">
        <f t="shared" si="148"/>
        <v>56084.022526755114</v>
      </c>
      <c r="AD189" s="1005">
        <f t="shared" si="149"/>
        <v>3324.1521434278475</v>
      </c>
      <c r="AE189" s="1456">
        <f t="shared" si="150"/>
        <v>0.41315987192577303</v>
      </c>
      <c r="AF189" s="1506">
        <f t="shared" si="151"/>
        <v>0.30817432325644117</v>
      </c>
      <c r="AG189" s="1506">
        <f t="shared" si="152"/>
        <v>4.8039746325472255E-2</v>
      </c>
      <c r="AH189" s="1506">
        <f t="shared" si="165"/>
        <v>0</v>
      </c>
      <c r="AI189" s="1506">
        <f t="shared" si="153"/>
        <v>0.2306260584923136</v>
      </c>
      <c r="AJ189" s="1506">
        <f t="shared" si="154"/>
        <v>1</v>
      </c>
      <c r="AK189" s="1557">
        <f t="shared" si="155"/>
        <v>23171.667564236315</v>
      </c>
      <c r="AL189" s="1558">
        <f t="shared" si="156"/>
        <v>0</v>
      </c>
      <c r="AM189" s="1558">
        <f t="shared" si="157"/>
        <v>0</v>
      </c>
      <c r="AN189" s="1558">
        <f t="shared" si="158"/>
        <v>23171.667564236315</v>
      </c>
      <c r="AO189" s="1545">
        <f t="shared" si="159"/>
        <v>0</v>
      </c>
    </row>
    <row r="190" spans="1:41">
      <c r="A190" s="100">
        <f>'Input data'!A130</f>
        <v>2030</v>
      </c>
      <c r="B190" s="1508">
        <f>'Input data'!B130</f>
        <v>65.956000000000003</v>
      </c>
      <c r="C190" s="1509">
        <f>'Input data'!C130</f>
        <v>3660.12</v>
      </c>
      <c r="D190" s="1509">
        <f>'Input data'!E130</f>
        <v>36027957.214440949</v>
      </c>
      <c r="E190" s="1510">
        <f>'Input data'!J130*C190</f>
        <v>43992.334794137714</v>
      </c>
      <c r="F190" s="1511">
        <f>'Input data'!L130</f>
        <v>80020.292008578661</v>
      </c>
      <c r="G190" s="1512">
        <f t="shared" si="168"/>
        <v>17794.324170380001</v>
      </c>
      <c r="H190" s="1511">
        <f t="shared" si="160"/>
        <v>41259.308670147642</v>
      </c>
      <c r="I190" s="1513">
        <f t="shared" si="135"/>
        <v>36027.957214440947</v>
      </c>
      <c r="J190" s="1506">
        <f>$H$19</f>
        <v>0.4</v>
      </c>
      <c r="K190" s="1514">
        <f t="shared" si="162"/>
        <v>12193.743593024137</v>
      </c>
      <c r="L190" s="1514">
        <f t="shared" si="136"/>
        <v>0</v>
      </c>
      <c r="M190" s="1513">
        <f t="shared" si="163"/>
        <v>12193.743593024137</v>
      </c>
      <c r="N190" s="1456">
        <f t="shared" si="169"/>
        <v>0.5</v>
      </c>
      <c r="O190" s="1513">
        <f t="shared" si="137"/>
        <v>751.91700000000026</v>
      </c>
      <c r="P190" s="1483">
        <f t="shared" si="166"/>
        <v>12945.660593024137</v>
      </c>
      <c r="Q190" s="1366">
        <f t="shared" si="138"/>
        <v>46107.972247503509</v>
      </c>
      <c r="R190" s="1366">
        <f t="shared" si="164"/>
        <v>28313.648077123507</v>
      </c>
      <c r="S190" s="1516">
        <f t="shared" si="139"/>
        <v>1.1560744464583452</v>
      </c>
      <c r="T190" s="135" t="str">
        <f t="shared" si="140"/>
        <v>No</v>
      </c>
      <c r="U190" s="1528">
        <f t="shared" si="141"/>
        <v>1</v>
      </c>
      <c r="V190" s="1496">
        <f t="shared" si="142"/>
        <v>55529.094089739723</v>
      </c>
      <c r="W190" s="1493">
        <f t="shared" si="134"/>
        <v>0.30606234123981113</v>
      </c>
      <c r="X190" s="527">
        <f t="shared" si="143"/>
        <v>21616.774328664567</v>
      </c>
      <c r="Y190" s="1511">
        <f t="shared" si="144"/>
        <v>17934.007283407827</v>
      </c>
      <c r="Z190" s="1533">
        <f t="shared" si="145"/>
        <v>2739.9084791286127</v>
      </c>
      <c r="AA190" s="1533">
        <f t="shared" si="146"/>
        <v>0</v>
      </c>
      <c r="AB190" s="1533">
        <f t="shared" si="147"/>
        <v>13238.403998538715</v>
      </c>
      <c r="AC190" s="1533">
        <f t="shared" si="148"/>
        <v>55529.094089739723</v>
      </c>
      <c r="AD190" s="1005">
        <f t="shared" si="149"/>
        <v>3822.450158284566</v>
      </c>
      <c r="AE190" s="1456">
        <f t="shared" si="150"/>
        <v>0.38928735797004049</v>
      </c>
      <c r="AF190" s="1506">
        <f t="shared" si="151"/>
        <v>0.32296596185100646</v>
      </c>
      <c r="AG190" s="1506">
        <f t="shared" si="152"/>
        <v>4.9341854464628729E-2</v>
      </c>
      <c r="AH190" s="1506">
        <f t="shared" si="165"/>
        <v>0</v>
      </c>
      <c r="AI190" s="1506">
        <f t="shared" si="153"/>
        <v>0.23840482571432431</v>
      </c>
      <c r="AJ190" s="1506">
        <f t="shared" si="154"/>
        <v>1</v>
      </c>
      <c r="AK190" s="1557">
        <f t="shared" si="155"/>
        <v>21616.774328664567</v>
      </c>
      <c r="AL190" s="1558">
        <f t="shared" si="156"/>
        <v>0</v>
      </c>
      <c r="AM190" s="1558">
        <f t="shared" si="157"/>
        <v>0</v>
      </c>
      <c r="AN190" s="1558">
        <f t="shared" si="158"/>
        <v>21616.774328664567</v>
      </c>
      <c r="AO190" s="1545">
        <f t="shared" si="159"/>
        <v>0</v>
      </c>
    </row>
    <row r="191" spans="1:41">
      <c r="A191" s="100">
        <f>'Input data'!A131</f>
        <v>2031</v>
      </c>
      <c r="B191" s="1508">
        <f>'Input data'!B131</f>
        <v>66.519000000000005</v>
      </c>
      <c r="C191" s="1509">
        <f>'Input data'!C131</f>
        <v>3761.03</v>
      </c>
      <c r="D191" s="1509">
        <f>'Input data'!E131</f>
        <v>35846430.699385166</v>
      </c>
      <c r="E191" s="1510">
        <f>'Input data'!J131*C191</f>
        <v>45205.209373134152</v>
      </c>
      <c r="F191" s="1511">
        <f>'Input data'!L131</f>
        <v>81051.640072519309</v>
      </c>
      <c r="G191" s="1512">
        <f t="shared" si="168"/>
        <v>15741.132919951538</v>
      </c>
      <c r="H191" s="1511">
        <f t="shared" si="160"/>
        <v>43838.10202079625</v>
      </c>
      <c r="I191" s="1513">
        <f t="shared" si="135"/>
        <v>35846.430699385164</v>
      </c>
      <c r="J191" s="1506">
        <f>J190</f>
        <v>0.4</v>
      </c>
      <c r="K191" s="1514">
        <f t="shared" si="162"/>
        <v>12132.305533498569</v>
      </c>
      <c r="L191" s="1514">
        <f t="shared" si="136"/>
        <v>0</v>
      </c>
      <c r="M191" s="1513">
        <f t="shared" si="163"/>
        <v>12132.305533498569</v>
      </c>
      <c r="N191" s="1456">
        <f t="shared" si="169"/>
        <v>0.5</v>
      </c>
      <c r="O191" s="1513">
        <f t="shared" si="137"/>
        <v>751.91700000000026</v>
      </c>
      <c r="P191" s="1483">
        <f t="shared" si="166"/>
        <v>12884.222533498569</v>
      </c>
      <c r="Q191" s="1366">
        <f t="shared" si="138"/>
        <v>46695.012407249218</v>
      </c>
      <c r="R191" s="1366">
        <f t="shared" si="164"/>
        <v>30953.87948729768</v>
      </c>
      <c r="S191" s="1516">
        <f t="shared" si="139"/>
        <v>1.2289550261420743</v>
      </c>
      <c r="T191" s="135" t="str">
        <f t="shared" si="140"/>
        <v>No</v>
      </c>
      <c r="U191" s="1528">
        <f t="shared" si="141"/>
        <v>1</v>
      </c>
      <c r="V191" s="1496">
        <f t="shared" si="142"/>
        <v>55864.486084901204</v>
      </c>
      <c r="W191" s="1493">
        <f t="shared" si="134"/>
        <v>0.31075440256461695</v>
      </c>
      <c r="X191" s="527">
        <f t="shared" si="143"/>
        <v>21507.858419631099</v>
      </c>
      <c r="Y191" s="1511">
        <f t="shared" si="144"/>
        <v>17958.521419187695</v>
      </c>
      <c r="Z191" s="1533">
        <f t="shared" si="145"/>
        <v>2794.7176712203664</v>
      </c>
      <c r="AA191" s="1533">
        <f t="shared" si="146"/>
        <v>0</v>
      </c>
      <c r="AB191" s="1533">
        <f t="shared" si="147"/>
        <v>13603.388574862045</v>
      </c>
      <c r="AC191" s="1533">
        <f t="shared" si="148"/>
        <v>55864.486084901204</v>
      </c>
      <c r="AD191" s="1005">
        <f t="shared" si="149"/>
        <v>5766.72549967956</v>
      </c>
      <c r="AE191" s="1456">
        <f t="shared" si="150"/>
        <v>0.38500055987168819</v>
      </c>
      <c r="AF191" s="1506">
        <f t="shared" si="151"/>
        <v>0.32146579477872333</v>
      </c>
      <c r="AG191" s="1506">
        <f t="shared" si="152"/>
        <v>5.0026731955844658E-2</v>
      </c>
      <c r="AH191" s="1506">
        <f t="shared" si="165"/>
        <v>0</v>
      </c>
      <c r="AI191" s="1506">
        <f t="shared" si="153"/>
        <v>0.24350691339374383</v>
      </c>
      <c r="AJ191" s="1506">
        <f t="shared" si="154"/>
        <v>1</v>
      </c>
      <c r="AK191" s="1557">
        <f t="shared" si="155"/>
        <v>21507.858419631099</v>
      </c>
      <c r="AL191" s="1558">
        <f t="shared" si="156"/>
        <v>0</v>
      </c>
      <c r="AM191" s="1558">
        <f t="shared" si="157"/>
        <v>0</v>
      </c>
      <c r="AN191" s="1558">
        <f t="shared" si="158"/>
        <v>21507.858419631099</v>
      </c>
      <c r="AO191" s="1545">
        <f t="shared" si="159"/>
        <v>0</v>
      </c>
    </row>
    <row r="192" spans="1:41">
      <c r="A192" s="100">
        <f>'Input data'!A132</f>
        <v>2032</v>
      </c>
      <c r="B192" s="1508">
        <f>'Input data'!B132</f>
        <v>67.087000000000003</v>
      </c>
      <c r="C192" s="1509">
        <f>'Input data'!C132</f>
        <v>3857.2</v>
      </c>
      <c r="D192" s="1509">
        <f>'Input data'!E132</f>
        <v>35664904.184329376</v>
      </c>
      <c r="E192" s="1510">
        <f>'Input data'!J132*C192</f>
        <v>46361.112140571342</v>
      </c>
      <c r="F192" s="1511">
        <f>'Input data'!L132</f>
        <v>82026.016324900716</v>
      </c>
      <c r="G192" s="1512">
        <f>G177*(1-E6)</f>
        <v>13687.941669523079</v>
      </c>
      <c r="H192" s="1511">
        <f t="shared" si="160"/>
        <v>46384.204540347695</v>
      </c>
      <c r="I192" s="1513">
        <f t="shared" si="135"/>
        <v>35664.904184329374</v>
      </c>
      <c r="J192" s="1506">
        <f t="shared" ref="J192:J210" si="170">J191</f>
        <v>0.4</v>
      </c>
      <c r="K192" s="1514">
        <f t="shared" si="162"/>
        <v>12070.867473972998</v>
      </c>
      <c r="L192" s="1514">
        <f t="shared" si="136"/>
        <v>0</v>
      </c>
      <c r="M192" s="1513">
        <f t="shared" si="163"/>
        <v>12070.867473972998</v>
      </c>
      <c r="N192" s="1456">
        <f t="shared" si="169"/>
        <v>0.5</v>
      </c>
      <c r="O192" s="1513">
        <f t="shared" si="137"/>
        <v>751.91700000000026</v>
      </c>
      <c r="P192" s="1483">
        <f t="shared" si="166"/>
        <v>12822.784473972997</v>
      </c>
      <c r="Q192" s="1366">
        <f t="shared" si="138"/>
        <v>47249.361735897772</v>
      </c>
      <c r="R192" s="1366">
        <f t="shared" si="164"/>
        <v>33561.420066374689</v>
      </c>
      <c r="S192" s="1516">
        <f t="shared" si="139"/>
        <v>1.2982930672755852</v>
      </c>
      <c r="T192" s="135" t="str">
        <f t="shared" si="140"/>
        <v>No</v>
      </c>
      <c r="U192" s="1528">
        <f t="shared" si="141"/>
        <v>1</v>
      </c>
      <c r="V192" s="1496">
        <f t="shared" si="142"/>
        <v>56175.597099600578</v>
      </c>
      <c r="W192" s="1493">
        <f t="shared" si="134"/>
        <v>0.31514902690029456</v>
      </c>
      <c r="X192" s="527">
        <f t="shared" si="143"/>
        <v>21398.942510597622</v>
      </c>
      <c r="Y192" s="1511">
        <f t="shared" si="144"/>
        <v>17978.473358196748</v>
      </c>
      <c r="Z192" s="1533">
        <f t="shared" si="145"/>
        <v>2846.9523358072647</v>
      </c>
      <c r="AA192" s="1533">
        <f t="shared" si="146"/>
        <v>0</v>
      </c>
      <c r="AB192" s="1533">
        <f t="shared" si="147"/>
        <v>13951.228894998943</v>
      </c>
      <c r="AC192" s="1533">
        <f t="shared" si="148"/>
        <v>56175.597099600578</v>
      </c>
      <c r="AD192" s="1005">
        <f t="shared" si="149"/>
        <v>7711.0008410745431</v>
      </c>
      <c r="AE192" s="1456">
        <f t="shared" si="150"/>
        <v>0.38092950703589001</v>
      </c>
      <c r="AF192" s="1506">
        <f t="shared" si="151"/>
        <v>0.32004062771812675</v>
      </c>
      <c r="AG192" s="1506">
        <f t="shared" si="152"/>
        <v>5.0679520695784595E-2</v>
      </c>
      <c r="AH192" s="1506">
        <f t="shared" si="165"/>
        <v>0</v>
      </c>
      <c r="AI192" s="1506">
        <f t="shared" si="153"/>
        <v>0.24835034455019864</v>
      </c>
      <c r="AJ192" s="1506">
        <f t="shared" si="154"/>
        <v>1</v>
      </c>
      <c r="AK192" s="1557">
        <f t="shared" si="155"/>
        <v>21398.942510597626</v>
      </c>
      <c r="AL192" s="1558">
        <f t="shared" si="156"/>
        <v>0</v>
      </c>
      <c r="AM192" s="1558">
        <f t="shared" si="157"/>
        <v>0</v>
      </c>
      <c r="AN192" s="1558">
        <f t="shared" si="158"/>
        <v>21398.942510597626</v>
      </c>
      <c r="AO192" s="1545">
        <f t="shared" si="159"/>
        <v>0</v>
      </c>
    </row>
    <row r="193" spans="1:41">
      <c r="A193" s="100">
        <f>'Input data'!A133</f>
        <v>2033</v>
      </c>
      <c r="B193" s="1508">
        <f>'Input data'!B133</f>
        <v>67.659000000000006</v>
      </c>
      <c r="C193" s="1509">
        <f>'Input data'!C133</f>
        <v>3964.01</v>
      </c>
      <c r="D193" s="1509">
        <f>'Input data'!E133</f>
        <v>35483377.6692736</v>
      </c>
      <c r="E193" s="1510">
        <f>'Input data'!J133*C193</f>
        <v>47644.900999778656</v>
      </c>
      <c r="F193" s="1511">
        <f>'Input data'!L133</f>
        <v>83128.278669052263</v>
      </c>
      <c r="G193" s="1512">
        <f>G192</f>
        <v>13687.941669523079</v>
      </c>
      <c r="H193" s="1511">
        <f t="shared" si="160"/>
        <v>46950.497759444042</v>
      </c>
      <c r="I193" s="1513">
        <f t="shared" si="135"/>
        <v>35483.377669273599</v>
      </c>
      <c r="J193" s="1506">
        <f t="shared" si="170"/>
        <v>0.4</v>
      </c>
      <c r="K193" s="1514">
        <f t="shared" si="162"/>
        <v>12009.429414447433</v>
      </c>
      <c r="L193" s="1514">
        <f t="shared" si="136"/>
        <v>0</v>
      </c>
      <c r="M193" s="1513">
        <f t="shared" si="163"/>
        <v>12009.429414447433</v>
      </c>
      <c r="N193" s="1456">
        <f t="shared" si="169"/>
        <v>0.5</v>
      </c>
      <c r="O193" s="1513">
        <f t="shared" si="137"/>
        <v>751.91700000000026</v>
      </c>
      <c r="P193" s="1483">
        <f t="shared" si="166"/>
        <v>12761.346414447433</v>
      </c>
      <c r="Q193" s="1366">
        <f t="shared" si="138"/>
        <v>47877.093014519683</v>
      </c>
      <c r="R193" s="1366">
        <f t="shared" si="164"/>
        <v>34189.151344996601</v>
      </c>
      <c r="S193" s="1516">
        <f t="shared" si="139"/>
        <v>1.2859316937778693</v>
      </c>
      <c r="T193" s="135" t="str">
        <f t="shared" si="140"/>
        <v>No</v>
      </c>
      <c r="U193" s="1528">
        <f t="shared" si="141"/>
        <v>1</v>
      </c>
      <c r="V193" s="1496">
        <f t="shared" si="142"/>
        <v>56541.21225609674</v>
      </c>
      <c r="W193" s="1493">
        <f t="shared" si="134"/>
        <v>0.31983179296666453</v>
      </c>
      <c r="X193" s="527">
        <f t="shared" si="143"/>
        <v>21290.026601564157</v>
      </c>
      <c r="Y193" s="1511">
        <f t="shared" si="144"/>
        <v>18008.666177720872</v>
      </c>
      <c r="Z193" s="1533">
        <f t="shared" si="145"/>
        <v>2904.9661085485213</v>
      </c>
      <c r="AA193" s="1533">
        <f t="shared" si="146"/>
        <v>0</v>
      </c>
      <c r="AB193" s="1533">
        <f t="shared" si="147"/>
        <v>14337.553368263189</v>
      </c>
      <c r="AC193" s="1533">
        <f t="shared" si="148"/>
        <v>56541.21225609674</v>
      </c>
      <c r="AD193" s="1005">
        <f t="shared" si="149"/>
        <v>7602.084932041078</v>
      </c>
      <c r="AE193" s="1456">
        <f t="shared" si="150"/>
        <v>0.3765399741543124</v>
      </c>
      <c r="AF193" s="1506">
        <f t="shared" si="151"/>
        <v>0.31850513031366828</v>
      </c>
      <c r="AG193" s="1506">
        <f t="shared" si="152"/>
        <v>5.1377853297358049E-2</v>
      </c>
      <c r="AH193" s="1506">
        <f t="shared" si="165"/>
        <v>0</v>
      </c>
      <c r="AI193" s="1506">
        <f t="shared" si="153"/>
        <v>0.25357704223466121</v>
      </c>
      <c r="AJ193" s="1506">
        <f t="shared" si="154"/>
        <v>0.99999999999999978</v>
      </c>
      <c r="AK193" s="1557">
        <f t="shared" si="155"/>
        <v>21290.026601564161</v>
      </c>
      <c r="AL193" s="1558">
        <f t="shared" si="156"/>
        <v>0</v>
      </c>
      <c r="AM193" s="1558">
        <f t="shared" si="157"/>
        <v>0</v>
      </c>
      <c r="AN193" s="1558">
        <f t="shared" si="158"/>
        <v>21290.026601564161</v>
      </c>
      <c r="AO193" s="1545">
        <f t="shared" si="159"/>
        <v>0</v>
      </c>
    </row>
    <row r="194" spans="1:41">
      <c r="A194" s="100">
        <f>'Input data'!A134</f>
        <v>2034</v>
      </c>
      <c r="B194" s="1508">
        <f>'Input data'!B134</f>
        <v>68.236999999999995</v>
      </c>
      <c r="C194" s="1509">
        <f>'Input data'!C134</f>
        <v>4078.22</v>
      </c>
      <c r="D194" s="1509">
        <f>'Input data'!E134</f>
        <v>35301851.154217809</v>
      </c>
      <c r="E194" s="1510">
        <f>'Input data'!J134*C194</f>
        <v>49017.633193487723</v>
      </c>
      <c r="F194" s="1511">
        <f>'Input data'!L134</f>
        <v>84319.484347705526</v>
      </c>
      <c r="G194" s="1512">
        <f t="shared" ref="G194:G210" si="171">G193</f>
        <v>13687.941669523079</v>
      </c>
      <c r="H194" s="1511">
        <f t="shared" si="160"/>
        <v>47567.827297130847</v>
      </c>
      <c r="I194" s="1513">
        <f t="shared" si="135"/>
        <v>35301.851154217809</v>
      </c>
      <c r="J194" s="1506">
        <f t="shared" si="170"/>
        <v>0.4</v>
      </c>
      <c r="K194" s="1514">
        <f t="shared" si="162"/>
        <v>11947.991354921862</v>
      </c>
      <c r="L194" s="1514">
        <f t="shared" si="136"/>
        <v>0</v>
      </c>
      <c r="M194" s="1513">
        <f t="shared" si="163"/>
        <v>11947.991354921862</v>
      </c>
      <c r="N194" s="1456">
        <f t="shared" si="169"/>
        <v>0.5</v>
      </c>
      <c r="O194" s="1513">
        <f t="shared" si="137"/>
        <v>751.91700000000026</v>
      </c>
      <c r="P194" s="1483">
        <f t="shared" si="166"/>
        <v>12699.908354921861</v>
      </c>
      <c r="Q194" s="1366">
        <f t="shared" si="138"/>
        <v>48555.86061173206</v>
      </c>
      <c r="R194" s="1366">
        <f t="shared" si="164"/>
        <v>34867.918942208984</v>
      </c>
      <c r="S194" s="1516">
        <f t="shared" si="139"/>
        <v>1.2737255699184196</v>
      </c>
      <c r="T194" s="135" t="str">
        <f t="shared" si="140"/>
        <v>No</v>
      </c>
      <c r="U194" s="1528">
        <f t="shared" si="141"/>
        <v>1</v>
      </c>
      <c r="V194" s="1496">
        <f t="shared" si="142"/>
        <v>56944.734428504162</v>
      </c>
      <c r="W194" s="1493">
        <f t="shared" si="134"/>
        <v>0.324655091654937</v>
      </c>
      <c r="X194" s="527">
        <f t="shared" si="143"/>
        <v>21181.110692530685</v>
      </c>
      <c r="Y194" s="1511">
        <f t="shared" si="144"/>
        <v>18045.981414144564</v>
      </c>
      <c r="Z194" s="1533">
        <f t="shared" si="145"/>
        <v>2966.9991858332214</v>
      </c>
      <c r="AA194" s="1533">
        <f t="shared" si="146"/>
        <v>0</v>
      </c>
      <c r="AB194" s="1533">
        <f t="shared" si="147"/>
        <v>14750.643135995693</v>
      </c>
      <c r="AC194" s="1533">
        <f t="shared" si="148"/>
        <v>56944.734428504162</v>
      </c>
      <c r="AD194" s="1005">
        <f t="shared" si="149"/>
        <v>7493.1690230076056</v>
      </c>
      <c r="AE194" s="1456">
        <f t="shared" si="150"/>
        <v>0.37195907409357071</v>
      </c>
      <c r="AF194" s="1506">
        <f t="shared" si="151"/>
        <v>0.31690342566794899</v>
      </c>
      <c r="AG194" s="1506">
        <f t="shared" si="152"/>
        <v>5.2103135006422392E-2</v>
      </c>
      <c r="AH194" s="1506">
        <f t="shared" si="165"/>
        <v>0</v>
      </c>
      <c r="AI194" s="1506">
        <f t="shared" si="153"/>
        <v>0.25903436523205797</v>
      </c>
      <c r="AJ194" s="1506">
        <f t="shared" si="154"/>
        <v>1</v>
      </c>
      <c r="AK194" s="1557">
        <f t="shared" si="155"/>
        <v>21181.110692530689</v>
      </c>
      <c r="AL194" s="1558">
        <f t="shared" si="156"/>
        <v>0</v>
      </c>
      <c r="AM194" s="1558">
        <f t="shared" si="157"/>
        <v>0</v>
      </c>
      <c r="AN194" s="1558">
        <f t="shared" si="158"/>
        <v>21181.110692530689</v>
      </c>
      <c r="AO194" s="1545">
        <f t="shared" si="159"/>
        <v>0</v>
      </c>
    </row>
    <row r="195" spans="1:41">
      <c r="A195" s="100">
        <f>'Input data'!A135</f>
        <v>2035</v>
      </c>
      <c r="B195" s="1508">
        <f>'Input data'!B135</f>
        <v>68.819000000000003</v>
      </c>
      <c r="C195" s="1509">
        <f>'Input data'!C135</f>
        <v>4200.2899999999991</v>
      </c>
      <c r="D195" s="1509">
        <f>'Input data'!E135</f>
        <v>35120324.639162026</v>
      </c>
      <c r="E195" s="1510">
        <f>'Input data'!J135*C195</f>
        <v>50484.837631681105</v>
      </c>
      <c r="F195" s="1511">
        <f>'Input data'!L135</f>
        <v>85605.162270843139</v>
      </c>
      <c r="G195" s="1512">
        <f t="shared" si="171"/>
        <v>13687.941669523079</v>
      </c>
      <c r="H195" s="1511">
        <f t="shared" si="160"/>
        <v>48239.365681320531</v>
      </c>
      <c r="I195" s="1513">
        <f t="shared" si="135"/>
        <v>35120.324639162027</v>
      </c>
      <c r="J195" s="1506">
        <f t="shared" si="170"/>
        <v>0.4</v>
      </c>
      <c r="K195" s="1514">
        <f t="shared" si="162"/>
        <v>11886.553295396294</v>
      </c>
      <c r="L195" s="1514">
        <f t="shared" si="136"/>
        <v>0</v>
      </c>
      <c r="M195" s="1513">
        <f t="shared" si="163"/>
        <v>11886.553295396294</v>
      </c>
      <c r="N195" s="1456">
        <f t="shared" si="169"/>
        <v>0.5</v>
      </c>
      <c r="O195" s="1513">
        <f t="shared" si="137"/>
        <v>751.91700000000026</v>
      </c>
      <c r="P195" s="1483">
        <f t="shared" si="166"/>
        <v>12638.470295396293</v>
      </c>
      <c r="Q195" s="1366">
        <f t="shared" si="138"/>
        <v>49288.837055447315</v>
      </c>
      <c r="R195" s="1366">
        <f t="shared" si="164"/>
        <v>35600.895385924232</v>
      </c>
      <c r="S195" s="1516">
        <f t="shared" si="139"/>
        <v>1.2616985055417012</v>
      </c>
      <c r="T195" s="135" t="str">
        <f t="shared" si="140"/>
        <v>No</v>
      </c>
      <c r="U195" s="1528">
        <f t="shared" si="141"/>
        <v>1</v>
      </c>
      <c r="V195" s="1496">
        <f t="shared" si="142"/>
        <v>57388.51999889304</v>
      </c>
      <c r="W195" s="1493">
        <f t="shared" si="134"/>
        <v>0.32961379341442587</v>
      </c>
      <c r="X195" s="527">
        <f t="shared" si="143"/>
        <v>21072.194783497216</v>
      </c>
      <c r="Y195" s="1511">
        <f t="shared" si="144"/>
        <v>18090.861812302133</v>
      </c>
      <c r="Z195" s="1533">
        <f t="shared" si="145"/>
        <v>3033.3014163221746</v>
      </c>
      <c r="AA195" s="1533">
        <f t="shared" si="146"/>
        <v>0</v>
      </c>
      <c r="AB195" s="1533">
        <f t="shared" si="147"/>
        <v>15192.161986771516</v>
      </c>
      <c r="AC195" s="1533">
        <f t="shared" si="148"/>
        <v>57388.51999889304</v>
      </c>
      <c r="AD195" s="1005">
        <f t="shared" si="149"/>
        <v>7384.2531139741368</v>
      </c>
      <c r="AE195" s="1456">
        <f t="shared" si="150"/>
        <v>0.36718484435395221</v>
      </c>
      <c r="AF195" s="1506">
        <f t="shared" si="151"/>
        <v>0.31523485555388231</v>
      </c>
      <c r="AG195" s="1506">
        <f t="shared" si="152"/>
        <v>5.2855543519517205E-2</v>
      </c>
      <c r="AH195" s="1506">
        <f t="shared" si="165"/>
        <v>0</v>
      </c>
      <c r="AI195" s="1506">
        <f t="shared" si="153"/>
        <v>0.26472475657264827</v>
      </c>
      <c r="AJ195" s="1506">
        <f t="shared" si="154"/>
        <v>0.99999999999999989</v>
      </c>
      <c r="AK195" s="1557">
        <f t="shared" si="155"/>
        <v>21072.194783497212</v>
      </c>
      <c r="AL195" s="1558">
        <f t="shared" si="156"/>
        <v>0</v>
      </c>
      <c r="AM195" s="1558">
        <f t="shared" si="157"/>
        <v>0</v>
      </c>
      <c r="AN195" s="1558">
        <f t="shared" si="158"/>
        <v>21072.194783497212</v>
      </c>
      <c r="AO195" s="1545">
        <f t="shared" si="159"/>
        <v>0</v>
      </c>
    </row>
    <row r="196" spans="1:41">
      <c r="A196" s="100">
        <f>'Input data'!A136</f>
        <v>2036</v>
      </c>
      <c r="B196" s="1508">
        <f>'Input data'!B136</f>
        <v>69.322999999999993</v>
      </c>
      <c r="C196" s="1509">
        <f>'Input data'!C136</f>
        <v>4325.9699999999993</v>
      </c>
      <c r="D196" s="1509">
        <f>'Input data'!E136</f>
        <v>32285395.803631678</v>
      </c>
      <c r="E196" s="1510">
        <f>'Input data'!J136*C196</f>
        <v>51995.431993867933</v>
      </c>
      <c r="F196" s="1511">
        <f>'Input data'!L136</f>
        <v>84280.827797499616</v>
      </c>
      <c r="G196" s="1512">
        <f t="shared" si="171"/>
        <v>13687.941669523079</v>
      </c>
      <c r="H196" s="1511">
        <f t="shared" si="160"/>
        <v>46445.710104756421</v>
      </c>
      <c r="I196" s="1513">
        <f t="shared" si="135"/>
        <v>32285.39580363168</v>
      </c>
      <c r="J196" s="1506">
        <f t="shared" si="170"/>
        <v>0.4</v>
      </c>
      <c r="K196" s="1514">
        <f t="shared" si="162"/>
        <v>10927.065220089276</v>
      </c>
      <c r="L196" s="1514">
        <f t="shared" si="136"/>
        <v>0</v>
      </c>
      <c r="M196" s="1513">
        <f t="shared" si="163"/>
        <v>10927.065220089276</v>
      </c>
      <c r="N196" s="1456">
        <f t="shared" si="169"/>
        <v>0.5</v>
      </c>
      <c r="O196" s="1513">
        <f t="shared" si="137"/>
        <v>751.91700000000026</v>
      </c>
      <c r="P196" s="1483">
        <f t="shared" si="166"/>
        <v>11678.982220089276</v>
      </c>
      <c r="Q196" s="1366">
        <f t="shared" si="138"/>
        <v>48454.669554190223</v>
      </c>
      <c r="R196" s="1366">
        <f t="shared" si="164"/>
        <v>34766.72788466714</v>
      </c>
      <c r="S196" s="1516">
        <f t="shared" si="139"/>
        <v>1.1954135192361053</v>
      </c>
      <c r="T196" s="135" t="str">
        <f t="shared" si="140"/>
        <v>No</v>
      </c>
      <c r="U196" s="1528">
        <f t="shared" si="141"/>
        <v>1</v>
      </c>
      <c r="V196" s="1496">
        <f t="shared" si="142"/>
        <v>55197.395725488401</v>
      </c>
      <c r="W196" s="1493">
        <f t="shared" si="134"/>
        <v>0.34507767462713557</v>
      </c>
      <c r="X196" s="527">
        <f t="shared" si="143"/>
        <v>19371.237482179007</v>
      </c>
      <c r="Y196" s="1511">
        <f t="shared" si="144"/>
        <v>17077.855866730344</v>
      </c>
      <c r="Z196" s="1533">
        <f t="shared" si="145"/>
        <v>3101.5644156492149</v>
      </c>
      <c r="AA196" s="1533">
        <f t="shared" si="146"/>
        <v>0</v>
      </c>
      <c r="AB196" s="1533">
        <f t="shared" si="147"/>
        <v>15646.737960929839</v>
      </c>
      <c r="AC196" s="1533">
        <f t="shared" si="148"/>
        <v>55197.395725488401</v>
      </c>
      <c r="AD196" s="1005">
        <f t="shared" si="149"/>
        <v>5683.2958126559279</v>
      </c>
      <c r="AE196" s="1456">
        <f t="shared" si="150"/>
        <v>0.35094477244030531</v>
      </c>
      <c r="AF196" s="1506">
        <f t="shared" si="151"/>
        <v>0.30939604382176195</v>
      </c>
      <c r="AG196" s="1506">
        <f t="shared" si="152"/>
        <v>5.6190412154119275E-2</v>
      </c>
      <c r="AH196" s="1506">
        <f t="shared" si="165"/>
        <v>0</v>
      </c>
      <c r="AI196" s="1506">
        <f t="shared" si="153"/>
        <v>0.28346877158381356</v>
      </c>
      <c r="AJ196" s="1506">
        <f t="shared" si="154"/>
        <v>1</v>
      </c>
      <c r="AK196" s="1557">
        <f t="shared" si="155"/>
        <v>19371.237482179007</v>
      </c>
      <c r="AL196" s="1558">
        <f t="shared" si="156"/>
        <v>0</v>
      </c>
      <c r="AM196" s="1558">
        <f t="shared" si="157"/>
        <v>0</v>
      </c>
      <c r="AN196" s="1558">
        <f t="shared" si="158"/>
        <v>19371.237482179007</v>
      </c>
      <c r="AO196" s="1545">
        <f t="shared" si="159"/>
        <v>0</v>
      </c>
    </row>
    <row r="197" spans="1:41">
      <c r="A197" s="100">
        <f>'Input data'!A137</f>
        <v>2037</v>
      </c>
      <c r="B197" s="1508">
        <f>'Input data'!B137</f>
        <v>69.83</v>
      </c>
      <c r="C197" s="1509">
        <f>'Input data'!C137</f>
        <v>4457.0000000000018</v>
      </c>
      <c r="D197" s="1509">
        <f>'Input data'!E137</f>
        <v>29450466.968101323</v>
      </c>
      <c r="E197" s="1510">
        <f>'Input data'!J137*C197</f>
        <v>53570.329983025658</v>
      </c>
      <c r="F197" s="1511">
        <f>'Input data'!L137</f>
        <v>83020.796951126977</v>
      </c>
      <c r="G197" s="1512">
        <f t="shared" si="171"/>
        <v>13687.941669523079</v>
      </c>
      <c r="H197" s="1511">
        <f t="shared" si="160"/>
        <v>44688.952407173274</v>
      </c>
      <c r="I197" s="1513">
        <f t="shared" si="135"/>
        <v>29450.466968101322</v>
      </c>
      <c r="J197" s="1506">
        <f t="shared" si="170"/>
        <v>0.4</v>
      </c>
      <c r="K197" s="1514">
        <f t="shared" si="162"/>
        <v>9967.5771447822535</v>
      </c>
      <c r="L197" s="1514">
        <f t="shared" si="136"/>
        <v>0</v>
      </c>
      <c r="M197" s="1513">
        <f t="shared" si="163"/>
        <v>9967.5771447822535</v>
      </c>
      <c r="N197" s="1456">
        <f t="shared" si="169"/>
        <v>0.5</v>
      </c>
      <c r="O197" s="1513">
        <f t="shared" si="137"/>
        <v>751.91700000000026</v>
      </c>
      <c r="P197" s="1483">
        <f t="shared" si="166"/>
        <v>10719.494144782253</v>
      </c>
      <c r="Q197" s="1366">
        <f t="shared" si="138"/>
        <v>47657.3999319141</v>
      </c>
      <c r="R197" s="1366">
        <f t="shared" si="164"/>
        <v>33969.458262391025</v>
      </c>
      <c r="S197" s="1516">
        <f t="shared" si="139"/>
        <v>1.1328016343149407</v>
      </c>
      <c r="T197" s="135" t="str">
        <f t="shared" si="140"/>
        <v>No</v>
      </c>
      <c r="U197" s="1528">
        <f t="shared" si="141"/>
        <v>1</v>
      </c>
      <c r="V197" s="1496">
        <f t="shared" si="142"/>
        <v>53033.677200073682</v>
      </c>
      <c r="W197" s="1493">
        <f t="shared" si="134"/>
        <v>0.36120009506420703</v>
      </c>
      <c r="X197" s="527">
        <f t="shared" si="143"/>
        <v>17670.280180860791</v>
      </c>
      <c r="Y197" s="1511">
        <f t="shared" si="144"/>
        <v>16069.999236079195</v>
      </c>
      <c r="Z197" s="1533">
        <f t="shared" si="145"/>
        <v>3172.7332635313132</v>
      </c>
      <c r="AA197" s="1533">
        <f t="shared" si="146"/>
        <v>0</v>
      </c>
      <c r="AB197" s="1533">
        <f t="shared" si="147"/>
        <v>16120.664519602384</v>
      </c>
      <c r="AC197" s="1533">
        <f t="shared" si="148"/>
        <v>53033.677200073682</v>
      </c>
      <c r="AD197" s="1005">
        <f t="shared" si="149"/>
        <v>3982.3385113377117</v>
      </c>
      <c r="AE197" s="1456">
        <f t="shared" si="150"/>
        <v>0.33318979776186897</v>
      </c>
      <c r="AF197" s="1506">
        <f t="shared" si="151"/>
        <v>0.30301499131304566</v>
      </c>
      <c r="AG197" s="1506">
        <f t="shared" si="152"/>
        <v>5.9824877908464268E-2</v>
      </c>
      <c r="AH197" s="1506">
        <f t="shared" si="165"/>
        <v>0</v>
      </c>
      <c r="AI197" s="1506">
        <f t="shared" si="153"/>
        <v>0.30397033301662113</v>
      </c>
      <c r="AJ197" s="1506">
        <f t="shared" si="154"/>
        <v>1</v>
      </c>
      <c r="AK197" s="1557">
        <f t="shared" si="155"/>
        <v>17670.280180860791</v>
      </c>
      <c r="AL197" s="1558">
        <f t="shared" si="156"/>
        <v>0</v>
      </c>
      <c r="AM197" s="1558">
        <f t="shared" si="157"/>
        <v>0</v>
      </c>
      <c r="AN197" s="1558">
        <f t="shared" si="158"/>
        <v>17670.280180860791</v>
      </c>
      <c r="AO197" s="1545">
        <f t="shared" si="159"/>
        <v>0</v>
      </c>
    </row>
    <row r="198" spans="1:41">
      <c r="A198" s="100">
        <f>'Input data'!A138</f>
        <v>2038</v>
      </c>
      <c r="B198" s="1508">
        <f>'Input data'!B138</f>
        <v>70.341999999999999</v>
      </c>
      <c r="C198" s="1509">
        <f>'Input data'!C138</f>
        <v>4590.03</v>
      </c>
      <c r="D198" s="1509">
        <f>'Input data'!E138</f>
        <v>26615538.132570967</v>
      </c>
      <c r="E198" s="1510">
        <f>'Input data'!J138*C198</f>
        <v>55169.266711237862</v>
      </c>
      <c r="F198" s="1511">
        <f>'Input data'!L138</f>
        <v>81784.80484380883</v>
      </c>
      <c r="G198" s="1512">
        <f t="shared" si="171"/>
        <v>13687.941669523079</v>
      </c>
      <c r="H198" s="1511">
        <f t="shared" si="160"/>
        <v>42945.988309209148</v>
      </c>
      <c r="I198" s="1513">
        <f t="shared" si="135"/>
        <v>26615.538132570968</v>
      </c>
      <c r="J198" s="1506">
        <f t="shared" si="170"/>
        <v>0.4</v>
      </c>
      <c r="K198" s="1514">
        <f t="shared" si="162"/>
        <v>9008.0890694752325</v>
      </c>
      <c r="L198" s="1514">
        <f t="shared" si="136"/>
        <v>0</v>
      </c>
      <c r="M198" s="1513">
        <f t="shared" si="163"/>
        <v>9008.0890694752325</v>
      </c>
      <c r="N198" s="1456">
        <f t="shared" si="169"/>
        <v>0.5</v>
      </c>
      <c r="O198" s="1513">
        <f t="shared" si="137"/>
        <v>751.91700000000026</v>
      </c>
      <c r="P198" s="1483">
        <f t="shared" si="166"/>
        <v>9760.0060694752319</v>
      </c>
      <c r="Q198" s="1366">
        <f t="shared" si="138"/>
        <v>46873.923909256991</v>
      </c>
      <c r="R198" s="1366">
        <f t="shared" si="164"/>
        <v>33185.982239733916</v>
      </c>
      <c r="S198" s="1516">
        <f t="shared" si="139"/>
        <v>1.0738201152581126</v>
      </c>
      <c r="T198" s="135" t="str">
        <f t="shared" si="140"/>
        <v>No</v>
      </c>
      <c r="U198" s="1528">
        <f t="shared" si="141"/>
        <v>1</v>
      </c>
      <c r="V198" s="1496">
        <f t="shared" si="142"/>
        <v>50880.203814094421</v>
      </c>
      <c r="W198" s="1493">
        <f t="shared" si="134"/>
        <v>0.37787705294076901</v>
      </c>
      <c r="X198" s="527">
        <f t="shared" si="143"/>
        <v>15969.32287954258</v>
      </c>
      <c r="Y198" s="1511">
        <f t="shared" si="144"/>
        <v>15064.067582968466</v>
      </c>
      <c r="Z198" s="1533">
        <f t="shared" si="145"/>
        <v>3244.988409938665</v>
      </c>
      <c r="AA198" s="1533">
        <f t="shared" si="146"/>
        <v>0</v>
      </c>
      <c r="AB198" s="1533">
        <f t="shared" si="147"/>
        <v>16601.824941644718</v>
      </c>
      <c r="AC198" s="1533">
        <f t="shared" si="148"/>
        <v>50880.203814094421</v>
      </c>
      <c r="AD198" s="1005">
        <f t="shared" si="149"/>
        <v>2281.3812100195009</v>
      </c>
      <c r="AE198" s="1456">
        <f t="shared" si="150"/>
        <v>0.313861220719381</v>
      </c>
      <c r="AF198" s="1506">
        <f t="shared" si="151"/>
        <v>0.29606932468292396</v>
      </c>
      <c r="AG198" s="1506">
        <f t="shared" si="152"/>
        <v>6.3777032454413338E-2</v>
      </c>
      <c r="AH198" s="1506">
        <f t="shared" si="165"/>
        <v>0</v>
      </c>
      <c r="AI198" s="1506">
        <f t="shared" si="153"/>
        <v>0.32629242214328191</v>
      </c>
      <c r="AJ198" s="1506">
        <f t="shared" si="154"/>
        <v>1.0000000000000002</v>
      </c>
      <c r="AK198" s="1557">
        <f t="shared" si="155"/>
        <v>15969.32287954258</v>
      </c>
      <c r="AL198" s="1558">
        <f t="shared" si="156"/>
        <v>0</v>
      </c>
      <c r="AM198" s="1558">
        <f t="shared" si="157"/>
        <v>0</v>
      </c>
      <c r="AN198" s="1558">
        <f t="shared" si="158"/>
        <v>15969.32287954258</v>
      </c>
      <c r="AO198" s="1545">
        <f t="shared" si="159"/>
        <v>0</v>
      </c>
    </row>
    <row r="199" spans="1:41">
      <c r="A199" s="100">
        <f>'Input data'!A139</f>
        <v>2039</v>
      </c>
      <c r="B199" s="1508">
        <f>'Input data'!B139</f>
        <v>70.856999999999999</v>
      </c>
      <c r="C199" s="1509">
        <f>'Input data'!C139</f>
        <v>4728.5300000000007</v>
      </c>
      <c r="D199" s="1509">
        <f>'Input data'!E139</f>
        <v>23780609.297040608</v>
      </c>
      <c r="E199" s="1510">
        <f>'Input data'!J139*C199</f>
        <v>56833.949390764246</v>
      </c>
      <c r="F199" s="1511">
        <f>'Input data'!L139</f>
        <v>80614.558687804849</v>
      </c>
      <c r="G199" s="1512">
        <f t="shared" si="171"/>
        <v>13687.941669523079</v>
      </c>
      <c r="H199" s="1511">
        <f t="shared" si="160"/>
        <v>41240.749706203133</v>
      </c>
      <c r="I199" s="1513">
        <f t="shared" si="135"/>
        <v>23780.609297040606</v>
      </c>
      <c r="J199" s="1506">
        <f t="shared" si="170"/>
        <v>0.4</v>
      </c>
      <c r="K199" s="1514">
        <f t="shared" si="162"/>
        <v>8048.6009941682096</v>
      </c>
      <c r="L199" s="1514">
        <f t="shared" si="136"/>
        <v>0</v>
      </c>
      <c r="M199" s="1513">
        <f t="shared" si="163"/>
        <v>8048.6009941682096</v>
      </c>
      <c r="N199" s="1456">
        <f t="shared" si="169"/>
        <v>0.5</v>
      </c>
      <c r="O199" s="1513">
        <f t="shared" si="137"/>
        <v>751.91700000000026</v>
      </c>
      <c r="P199" s="1483">
        <f t="shared" si="166"/>
        <v>8800.517994168209</v>
      </c>
      <c r="Q199" s="1366">
        <f t="shared" si="138"/>
        <v>46128.173381558001</v>
      </c>
      <c r="R199" s="1366">
        <f t="shared" si="164"/>
        <v>32440.231712034922</v>
      </c>
      <c r="S199" s="1516">
        <f t="shared" si="139"/>
        <v>1.0182180605822913</v>
      </c>
      <c r="T199" s="135" t="str">
        <f t="shared" si="140"/>
        <v>No</v>
      </c>
      <c r="U199" s="1528">
        <f t="shared" si="141"/>
        <v>1</v>
      </c>
      <c r="V199" s="1496">
        <f t="shared" si="142"/>
        <v>48754.750884471221</v>
      </c>
      <c r="W199" s="1493">
        <f t="shared" si="134"/>
        <v>0.39521158860047567</v>
      </c>
      <c r="X199" s="527">
        <f t="shared" si="143"/>
        <v>14268.365578224364</v>
      </c>
      <c r="Y199" s="1511">
        <f t="shared" si="144"/>
        <v>14063.400743430801</v>
      </c>
      <c r="Z199" s="1533">
        <f t="shared" si="145"/>
        <v>3320.2145828125908</v>
      </c>
      <c r="AA199" s="1533">
        <f t="shared" si="146"/>
        <v>0</v>
      </c>
      <c r="AB199" s="1533">
        <f t="shared" si="147"/>
        <v>17102.769980003464</v>
      </c>
      <c r="AC199" s="1533">
        <f t="shared" si="148"/>
        <v>48754.750884471221</v>
      </c>
      <c r="AD199" s="1005">
        <f t="shared" si="149"/>
        <v>580.42390870128474</v>
      </c>
      <c r="AE199" s="1456">
        <f t="shared" si="150"/>
        <v>0.292655901617353</v>
      </c>
      <c r="AF199" s="1506">
        <f t="shared" si="151"/>
        <v>0.28845190444630303</v>
      </c>
      <c r="AG199" s="1506">
        <f t="shared" si="152"/>
        <v>6.8100329149053368E-2</v>
      </c>
      <c r="AH199" s="1506">
        <f t="shared" si="165"/>
        <v>0</v>
      </c>
      <c r="AI199" s="1506">
        <f t="shared" si="153"/>
        <v>0.35079186478729057</v>
      </c>
      <c r="AJ199" s="1506">
        <f t="shared" si="154"/>
        <v>1</v>
      </c>
      <c r="AK199" s="1557">
        <f t="shared" si="155"/>
        <v>14268.365578224362</v>
      </c>
      <c r="AL199" s="1558">
        <f t="shared" si="156"/>
        <v>0</v>
      </c>
      <c r="AM199" s="1558">
        <f t="shared" si="157"/>
        <v>0</v>
      </c>
      <c r="AN199" s="1558">
        <f t="shared" si="158"/>
        <v>14268.365578224362</v>
      </c>
      <c r="AO199" s="1545">
        <f t="shared" si="159"/>
        <v>0</v>
      </c>
    </row>
    <row r="200" spans="1:41">
      <c r="A200" s="100">
        <f>'Input data'!A140</f>
        <v>2040</v>
      </c>
      <c r="B200" s="1508">
        <f>'Input data'!B140</f>
        <v>71.375</v>
      </c>
      <c r="C200" s="1509">
        <f>'Input data'!C140</f>
        <v>4875.51</v>
      </c>
      <c r="D200" s="1509">
        <f>'Input data'!E140</f>
        <v>20945680.461510252</v>
      </c>
      <c r="E200" s="1510">
        <f>'Input data'!J140*C200</f>
        <v>58600.556323881829</v>
      </c>
      <c r="F200" s="1511">
        <f>'Input data'!L140</f>
        <v>79546.236785392073</v>
      </c>
      <c r="G200" s="1512">
        <f t="shared" si="171"/>
        <v>13687.941669523079</v>
      </c>
      <c r="H200" s="1511">
        <f t="shared" si="160"/>
        <v>39593.995965581897</v>
      </c>
      <c r="I200" s="1513">
        <f t="shared" si="135"/>
        <v>20945.680461510252</v>
      </c>
      <c r="J200" s="1506">
        <f t="shared" si="170"/>
        <v>0.4</v>
      </c>
      <c r="K200" s="1514">
        <f t="shared" si="162"/>
        <v>7089.1129188611885</v>
      </c>
      <c r="L200" s="1514">
        <f t="shared" si="136"/>
        <v>0</v>
      </c>
      <c r="M200" s="1513">
        <f t="shared" si="163"/>
        <v>7089.1129188611885</v>
      </c>
      <c r="N200" s="1456">
        <f t="shared" si="169"/>
        <v>0.5</v>
      </c>
      <c r="O200" s="1513">
        <f t="shared" si="137"/>
        <v>751.91700000000026</v>
      </c>
      <c r="P200" s="1483">
        <f t="shared" si="166"/>
        <v>7841.0299188611889</v>
      </c>
      <c r="Q200" s="1366">
        <f t="shared" si="138"/>
        <v>45440.907716243782</v>
      </c>
      <c r="R200" s="1366">
        <f t="shared" si="164"/>
        <v>31752.966046720703</v>
      </c>
      <c r="S200" s="1516">
        <f t="shared" si="139"/>
        <v>0.96591377821869318</v>
      </c>
      <c r="T200" s="135" t="str">
        <f t="shared" si="140"/>
        <v>Yes</v>
      </c>
      <c r="U200" s="1528">
        <f t="shared" si="141"/>
        <v>0.96591377821869318</v>
      </c>
      <c r="V200" s="1496">
        <f t="shared" si="142"/>
        <v>47793.270738671388</v>
      </c>
      <c r="W200" s="1493">
        <f t="shared" si="134"/>
        <v>0.39917621913890244</v>
      </c>
      <c r="X200" s="527">
        <f t="shared" si="143"/>
        <v>13687.941669523079</v>
      </c>
      <c r="Y200" s="1511">
        <f t="shared" si="144"/>
        <v>13070.895808664543</v>
      </c>
      <c r="Z200" s="1533">
        <f t="shared" si="145"/>
        <v>3400.0466614335983</v>
      </c>
      <c r="AA200" s="1533">
        <f t="shared" si="146"/>
        <v>0</v>
      </c>
      <c r="AB200" s="1533">
        <f t="shared" si="147"/>
        <v>17634.386599050165</v>
      </c>
      <c r="AC200" s="1533">
        <f t="shared" si="148"/>
        <v>47793.270738671388</v>
      </c>
      <c r="AD200" s="1005">
        <f t="shared" si="149"/>
        <v>0</v>
      </c>
      <c r="AE200" s="1456">
        <f t="shared" si="150"/>
        <v>0.28639893143884865</v>
      </c>
      <c r="AF200" s="1506">
        <f t="shared" si="151"/>
        <v>0.27348820464987289</v>
      </c>
      <c r="AG200" s="1506">
        <f t="shared" si="152"/>
        <v>7.1140698447375542E-2</v>
      </c>
      <c r="AH200" s="1506">
        <f t="shared" si="165"/>
        <v>0</v>
      </c>
      <c r="AI200" s="1506">
        <f t="shared" si="153"/>
        <v>0.36897216546390282</v>
      </c>
      <c r="AJ200" s="1506">
        <f t="shared" si="154"/>
        <v>1</v>
      </c>
      <c r="AK200" s="1557">
        <f t="shared" si="155"/>
        <v>12567.40827690615</v>
      </c>
      <c r="AL200" s="1558">
        <f t="shared" si="156"/>
        <v>1066.0751045622951</v>
      </c>
      <c r="AM200" s="1558">
        <f t="shared" si="157"/>
        <v>54.458288054632654</v>
      </c>
      <c r="AN200" s="1558">
        <f t="shared" si="158"/>
        <v>13687.941669523078</v>
      </c>
      <c r="AO200" s="1545">
        <f t="shared" si="159"/>
        <v>0</v>
      </c>
    </row>
    <row r="201" spans="1:41">
      <c r="A201" s="100">
        <f>'Input data'!A141</f>
        <v>2041</v>
      </c>
      <c r="B201" s="1508">
        <f>'Input data'!B141</f>
        <v>71.819000000000003</v>
      </c>
      <c r="C201" s="1509">
        <f>'Input data'!C141</f>
        <v>5028.54</v>
      </c>
      <c r="D201" s="1509">
        <f>'Input data'!E141</f>
        <v>19664699.523913871</v>
      </c>
      <c r="E201" s="1510">
        <f>'Input data'!J141*C201</f>
        <v>60439.880442639384</v>
      </c>
      <c r="F201" s="1511">
        <f>'Input data'!L141</f>
        <v>80104.579966553254</v>
      </c>
      <c r="G201" s="1512">
        <f t="shared" si="171"/>
        <v>13687.941669523079</v>
      </c>
      <c r="H201" s="1511">
        <f t="shared" si="160"/>
        <v>39447.27378272971</v>
      </c>
      <c r="I201" s="1513">
        <f t="shared" si="135"/>
        <v>19664.699523913871</v>
      </c>
      <c r="J201" s="1506">
        <f t="shared" si="170"/>
        <v>0.4</v>
      </c>
      <c r="K201" s="1514">
        <f t="shared" si="162"/>
        <v>6655.5620237152089</v>
      </c>
      <c r="L201" s="1514">
        <f t="shared" si="136"/>
        <v>0</v>
      </c>
      <c r="M201" s="1513">
        <f t="shared" si="163"/>
        <v>6655.5620237152089</v>
      </c>
      <c r="N201" s="1456">
        <f t="shared" si="169"/>
        <v>0.5</v>
      </c>
      <c r="O201" s="1513">
        <f t="shared" si="137"/>
        <v>751.91700000000026</v>
      </c>
      <c r="P201" s="1483">
        <f t="shared" si="166"/>
        <v>7407.4790237152092</v>
      </c>
      <c r="Q201" s="1366">
        <f t="shared" si="138"/>
        <v>45727.736428537573</v>
      </c>
      <c r="R201" s="1366">
        <f t="shared" si="164"/>
        <v>32039.794759014494</v>
      </c>
      <c r="S201" s="1516">
        <f t="shared" si="139"/>
        <v>0.94432118269238108</v>
      </c>
      <c r="T201" s="135" t="str">
        <f t="shared" si="140"/>
        <v>Yes</v>
      </c>
      <c r="U201" s="1528">
        <f t="shared" si="141"/>
        <v>0.94432118269238108</v>
      </c>
      <c r="V201" s="1496">
        <f t="shared" si="142"/>
        <v>48064.785207538771</v>
      </c>
      <c r="W201" s="1493">
        <f t="shared" si="134"/>
        <v>0.39997456790101549</v>
      </c>
      <c r="X201" s="527">
        <f t="shared" si="143"/>
        <v>13687.941669523083</v>
      </c>
      <c r="Y201" s="1511">
        <f t="shared" si="144"/>
        <v>12705.793090131663</v>
      </c>
      <c r="Z201" s="1533">
        <f t="shared" si="145"/>
        <v>3483.1647930935037</v>
      </c>
      <c r="AA201" s="1533">
        <f t="shared" si="146"/>
        <v>0</v>
      </c>
      <c r="AB201" s="1533">
        <f t="shared" si="147"/>
        <v>18187.88565479052</v>
      </c>
      <c r="AC201" s="1533">
        <f t="shared" si="148"/>
        <v>48064.785207538771</v>
      </c>
      <c r="AD201" s="1005">
        <f t="shared" si="149"/>
        <v>0</v>
      </c>
      <c r="AE201" s="1456">
        <f t="shared" si="150"/>
        <v>0.2847810847467635</v>
      </c>
      <c r="AF201" s="1506">
        <f t="shared" si="151"/>
        <v>0.26434723540882088</v>
      </c>
      <c r="AG201" s="1506">
        <f t="shared" si="152"/>
        <v>7.246812355560435E-2</v>
      </c>
      <c r="AH201" s="1506">
        <f t="shared" si="165"/>
        <v>0</v>
      </c>
      <c r="AI201" s="1506">
        <f t="shared" si="153"/>
        <v>0.37840355628881123</v>
      </c>
      <c r="AJ201" s="1506">
        <f t="shared" si="154"/>
        <v>1</v>
      </c>
      <c r="AK201" s="1557">
        <f t="shared" si="155"/>
        <v>11798.819714348321</v>
      </c>
      <c r="AL201" s="1558">
        <f t="shared" si="156"/>
        <v>1796.0598126867446</v>
      </c>
      <c r="AM201" s="1558">
        <f t="shared" si="157"/>
        <v>93.062142488016335</v>
      </c>
      <c r="AN201" s="1558">
        <f t="shared" si="158"/>
        <v>13687.941669523081</v>
      </c>
      <c r="AO201" s="1545">
        <f t="shared" si="159"/>
        <v>0</v>
      </c>
    </row>
    <row r="202" spans="1:41">
      <c r="A202" s="100">
        <f>'Input data'!A142</f>
        <v>2042</v>
      </c>
      <c r="B202" s="1508">
        <f>'Input data'!B142</f>
        <v>72.265000000000001</v>
      </c>
      <c r="C202" s="1509">
        <f>'Input data'!C142</f>
        <v>5188.1000000000004</v>
      </c>
      <c r="D202" s="1509">
        <f>'Input data'!E142</f>
        <v>18383718.586317491</v>
      </c>
      <c r="E202" s="1510">
        <f>'Input data'!J142*C202</f>
        <v>62357.691044409985</v>
      </c>
      <c r="F202" s="1511">
        <f>'Input data'!L142</f>
        <v>80741.409630727474</v>
      </c>
      <c r="G202" s="1512">
        <f t="shared" si="171"/>
        <v>13687.941669523079</v>
      </c>
      <c r="H202" s="1511">
        <f t="shared" si="160"/>
        <v>39345.587702633726</v>
      </c>
      <c r="I202" s="1513">
        <f t="shared" si="135"/>
        <v>18383.718586317489</v>
      </c>
      <c r="J202" s="1506">
        <f t="shared" si="170"/>
        <v>0.4</v>
      </c>
      <c r="K202" s="1514">
        <f t="shared" si="162"/>
        <v>6222.0111285692301</v>
      </c>
      <c r="L202" s="1514">
        <f t="shared" si="136"/>
        <v>0</v>
      </c>
      <c r="M202" s="1513">
        <f t="shared" si="163"/>
        <v>6222.0111285692301</v>
      </c>
      <c r="N202" s="1456">
        <f t="shared" si="169"/>
        <v>0.5</v>
      </c>
      <c r="O202" s="1513">
        <f t="shared" si="137"/>
        <v>751.91700000000026</v>
      </c>
      <c r="P202" s="1483">
        <f t="shared" si="166"/>
        <v>6973.9281285692305</v>
      </c>
      <c r="Q202" s="1366">
        <f t="shared" si="138"/>
        <v>46059.601243587575</v>
      </c>
      <c r="R202" s="1366">
        <f t="shared" si="164"/>
        <v>32371.659574064495</v>
      </c>
      <c r="S202" s="1516">
        <f t="shared" si="139"/>
        <v>0.92412908051820908</v>
      </c>
      <c r="T202" s="135" t="str">
        <f t="shared" si="140"/>
        <v>Yes</v>
      </c>
      <c r="U202" s="1528">
        <f t="shared" si="141"/>
        <v>0.92412908051820908</v>
      </c>
      <c r="V202" s="1496">
        <f t="shared" si="142"/>
        <v>48369.75005666299</v>
      </c>
      <c r="W202" s="1493">
        <f t="shared" si="134"/>
        <v>0.40093007692232452</v>
      </c>
      <c r="X202" s="527">
        <f t="shared" si="143"/>
        <v>13687.941669523083</v>
      </c>
      <c r="Y202" s="1511">
        <f t="shared" si="144"/>
        <v>12346.975423268272</v>
      </c>
      <c r="Z202" s="1533">
        <f t="shared" si="145"/>
        <v>3569.829689438367</v>
      </c>
      <c r="AA202" s="1533">
        <f t="shared" si="146"/>
        <v>0</v>
      </c>
      <c r="AB202" s="1533">
        <f t="shared" si="147"/>
        <v>18765.003274433271</v>
      </c>
      <c r="AC202" s="1533">
        <f t="shared" si="148"/>
        <v>48369.75005666299</v>
      </c>
      <c r="AD202" s="1005">
        <f t="shared" si="149"/>
        <v>0</v>
      </c>
      <c r="AE202" s="1456">
        <f t="shared" si="150"/>
        <v>0.28298557783507822</v>
      </c>
      <c r="AF202" s="1506">
        <f t="shared" si="151"/>
        <v>0.25526233666298348</v>
      </c>
      <c r="AG202" s="1506">
        <f t="shared" si="152"/>
        <v>7.3802938515424868E-2</v>
      </c>
      <c r="AH202" s="1506">
        <f t="shared" si="165"/>
        <v>0</v>
      </c>
      <c r="AI202" s="1506">
        <f t="shared" si="153"/>
        <v>0.3879491469865135</v>
      </c>
      <c r="AJ202" s="1506">
        <f t="shared" si="154"/>
        <v>1</v>
      </c>
      <c r="AK202" s="1557">
        <f t="shared" si="155"/>
        <v>11030.231151790493</v>
      </c>
      <c r="AL202" s="1558">
        <f t="shared" si="156"/>
        <v>2525.0650483720647</v>
      </c>
      <c r="AM202" s="1558">
        <f t="shared" si="157"/>
        <v>132.64546936052548</v>
      </c>
      <c r="AN202" s="1558">
        <f t="shared" si="158"/>
        <v>13687.941669523081</v>
      </c>
      <c r="AO202" s="1545">
        <f t="shared" si="159"/>
        <v>0</v>
      </c>
    </row>
    <row r="203" spans="1:41">
      <c r="A203" s="100">
        <f>'Input data'!A143</f>
        <v>2043</v>
      </c>
      <c r="B203" s="1508">
        <f>'Input data'!B143</f>
        <v>72.713999999999999</v>
      </c>
      <c r="C203" s="1509">
        <f>'Input data'!C143</f>
        <v>5353.7899999999991</v>
      </c>
      <c r="D203" s="1509">
        <f>'Input data'!E143</f>
        <v>17102737.64872111</v>
      </c>
      <c r="E203" s="1510">
        <f>'Input data'!J143*C203</f>
        <v>64349.180381382714</v>
      </c>
      <c r="F203" s="1511">
        <f>'Input data'!L143</f>
        <v>81451.918030103829</v>
      </c>
      <c r="G203" s="1512">
        <f t="shared" si="171"/>
        <v>13687.941669523079</v>
      </c>
      <c r="H203" s="1511">
        <f t="shared" si="160"/>
        <v>39286.179005370126</v>
      </c>
      <c r="I203" s="1513">
        <f t="shared" si="135"/>
        <v>17102.737648721111</v>
      </c>
      <c r="J203" s="1506">
        <f t="shared" si="170"/>
        <v>0.4</v>
      </c>
      <c r="K203" s="1514">
        <f t="shared" si="162"/>
        <v>5788.4602334232513</v>
      </c>
      <c r="L203" s="1514">
        <f t="shared" si="136"/>
        <v>0</v>
      </c>
      <c r="M203" s="1513">
        <f t="shared" si="163"/>
        <v>5788.4602334232513</v>
      </c>
      <c r="N203" s="1456">
        <f t="shared" si="169"/>
        <v>0.5</v>
      </c>
      <c r="O203" s="1513">
        <f t="shared" si="137"/>
        <v>751.91700000000026</v>
      </c>
      <c r="P203" s="1483">
        <f t="shared" si="166"/>
        <v>6540.3772334232517</v>
      </c>
      <c r="Q203" s="1366">
        <f t="shared" si="138"/>
        <v>46433.743441469953</v>
      </c>
      <c r="R203" s="1366">
        <f t="shared" si="164"/>
        <v>32745.801771946873</v>
      </c>
      <c r="S203" s="1516">
        <f t="shared" si="139"/>
        <v>0.90527785227939028</v>
      </c>
      <c r="T203" s="135" t="str">
        <f t="shared" si="140"/>
        <v>Yes</v>
      </c>
      <c r="U203" s="1528">
        <f t="shared" si="141"/>
        <v>0.90527785227939028</v>
      </c>
      <c r="V203" s="1496">
        <f t="shared" si="142"/>
        <v>48706.116258156966</v>
      </c>
      <c r="W203" s="1493">
        <f t="shared" si="134"/>
        <v>0.40202615928386531</v>
      </c>
      <c r="X203" s="527">
        <f t="shared" si="143"/>
        <v>13687.941669523079</v>
      </c>
      <c r="Y203" s="1511">
        <f t="shared" si="144"/>
        <v>11994.057812566287</v>
      </c>
      <c r="Z203" s="1533">
        <f t="shared" si="145"/>
        <v>3659.8240907631371</v>
      </c>
      <c r="AA203" s="1533">
        <f t="shared" si="146"/>
        <v>0</v>
      </c>
      <c r="AB203" s="1533">
        <f t="shared" si="147"/>
        <v>19364.292685304463</v>
      </c>
      <c r="AC203" s="1533">
        <f t="shared" si="148"/>
        <v>48706.116258156966</v>
      </c>
      <c r="AD203" s="1005">
        <f t="shared" si="149"/>
        <v>0</v>
      </c>
      <c r="AE203" s="1456">
        <f t="shared" si="150"/>
        <v>0.28103126919364502</v>
      </c>
      <c r="AF203" s="1506">
        <f t="shared" si="151"/>
        <v>0.24625362755252744</v>
      </c>
      <c r="AG203" s="1506">
        <f t="shared" si="152"/>
        <v>7.5140955016100561E-2</v>
      </c>
      <c r="AH203" s="1506">
        <f t="shared" si="165"/>
        <v>0</v>
      </c>
      <c r="AI203" s="1506">
        <f t="shared" si="153"/>
        <v>0.39757414823772702</v>
      </c>
      <c r="AJ203" s="1506">
        <f t="shared" si="154"/>
        <v>1</v>
      </c>
      <c r="AK203" s="1557">
        <f t="shared" si="155"/>
        <v>10261.642589232666</v>
      </c>
      <c r="AL203" s="1558">
        <f t="shared" si="156"/>
        <v>3253.1325080500769</v>
      </c>
      <c r="AM203" s="1558">
        <f t="shared" si="157"/>
        <v>173.1665722403344</v>
      </c>
      <c r="AN203" s="1558">
        <f t="shared" si="158"/>
        <v>13687.941669523078</v>
      </c>
      <c r="AO203" s="1545">
        <f t="shared" si="159"/>
        <v>0</v>
      </c>
    </row>
    <row r="204" spans="1:41">
      <c r="A204" s="100">
        <f>'Input data'!A144</f>
        <v>2044</v>
      </c>
      <c r="B204" s="1508">
        <f>'Input data'!B144</f>
        <v>73.165000000000006</v>
      </c>
      <c r="C204" s="1509">
        <f>'Input data'!C144</f>
        <v>5526.5000000000018</v>
      </c>
      <c r="D204" s="1509">
        <f>'Input data'!E144</f>
        <v>15821756.711124728</v>
      </c>
      <c r="E204" s="1510">
        <f>'Input data'!J144*C204</f>
        <v>66425.045692436906</v>
      </c>
      <c r="F204" s="1511">
        <f>'Input data'!L144</f>
        <v>82246.80240356164</v>
      </c>
      <c r="G204" s="1512">
        <f t="shared" si="171"/>
        <v>13687.941669523079</v>
      </c>
      <c r="H204" s="1511">
        <f t="shared" si="160"/>
        <v>39275.18584276941</v>
      </c>
      <c r="I204" s="1513">
        <f t="shared" si="135"/>
        <v>15821.756711124728</v>
      </c>
      <c r="J204" s="1506">
        <f t="shared" si="170"/>
        <v>0.4</v>
      </c>
      <c r="K204" s="1514">
        <f t="shared" si="162"/>
        <v>5354.9093382772708</v>
      </c>
      <c r="L204" s="1514">
        <f t="shared" si="136"/>
        <v>0</v>
      </c>
      <c r="M204" s="1513">
        <f t="shared" si="163"/>
        <v>5354.9093382772708</v>
      </c>
      <c r="N204" s="1456">
        <f t="shared" si="169"/>
        <v>0.5</v>
      </c>
      <c r="O204" s="1513">
        <f t="shared" si="137"/>
        <v>751.91700000000026</v>
      </c>
      <c r="P204" s="1483">
        <f t="shared" si="166"/>
        <v>6106.8263382772711</v>
      </c>
      <c r="Q204" s="1366">
        <f t="shared" si="138"/>
        <v>46856.301174015214</v>
      </c>
      <c r="R204" s="1366">
        <f t="shared" si="164"/>
        <v>33168.359504492139</v>
      </c>
      <c r="S204" s="1516">
        <f t="shared" si="139"/>
        <v>0.88772689840618302</v>
      </c>
      <c r="T204" s="135" t="str">
        <f t="shared" si="140"/>
        <v>Yes</v>
      </c>
      <c r="U204" s="1528">
        <f t="shared" si="141"/>
        <v>0.88772689840618302</v>
      </c>
      <c r="V204" s="1496">
        <f t="shared" si="142"/>
        <v>49078.442899069501</v>
      </c>
      <c r="W204" s="1493">
        <f>(1-V204/F204)</f>
        <v>0.40327840761206057</v>
      </c>
      <c r="X204" s="527">
        <f t="shared" si="143"/>
        <v>13687.941669523076</v>
      </c>
      <c r="Y204" s="1511">
        <f t="shared" si="144"/>
        <v>11647.896873031197</v>
      </c>
      <c r="Z204" s="1533">
        <f t="shared" si="145"/>
        <v>3753.6313999115555</v>
      </c>
      <c r="AA204" s="1533">
        <f t="shared" si="146"/>
        <v>0</v>
      </c>
      <c r="AB204" s="1533">
        <f t="shared" si="147"/>
        <v>19988.972956603673</v>
      </c>
      <c r="AC204" s="1533">
        <f t="shared" si="148"/>
        <v>49078.442899069501</v>
      </c>
      <c r="AD204" s="1005">
        <f t="shared" si="149"/>
        <v>0</v>
      </c>
      <c r="AE204" s="1456">
        <f t="shared" si="150"/>
        <v>0.27889926535918258</v>
      </c>
      <c r="AF204" s="1506">
        <f t="shared" si="151"/>
        <v>0.23733224171323566</v>
      </c>
      <c r="AG204" s="1506">
        <f t="shared" si="152"/>
        <v>7.6482283833473497E-2</v>
      </c>
      <c r="AH204" s="1506">
        <f t="shared" si="165"/>
        <v>0</v>
      </c>
      <c r="AI204" s="1506">
        <f t="shared" si="153"/>
        <v>0.40728620909410823</v>
      </c>
      <c r="AJ204" s="1506">
        <f t="shared" si="154"/>
        <v>1</v>
      </c>
      <c r="AK204" s="1557">
        <f t="shared" si="155"/>
        <v>9493.0540266748358</v>
      </c>
      <c r="AL204" s="1558">
        <f t="shared" si="156"/>
        <v>3980.2905861144845</v>
      </c>
      <c r="AM204" s="1558">
        <f t="shared" si="157"/>
        <v>214.59705673375294</v>
      </c>
      <c r="AN204" s="1558">
        <f t="shared" si="158"/>
        <v>13687.941669523074</v>
      </c>
      <c r="AO204" s="1545">
        <f t="shared" si="159"/>
        <v>0</v>
      </c>
    </row>
    <row r="205" spans="1:41">
      <c r="A205" s="100">
        <f>'Input data'!A145</f>
        <v>2045</v>
      </c>
      <c r="B205" s="1508">
        <f>'Input data'!B145</f>
        <v>73.62</v>
      </c>
      <c r="C205" s="1509">
        <f>'Input data'!C145</f>
        <v>5709.93</v>
      </c>
      <c r="D205" s="1509">
        <f>'Input data'!E145</f>
        <v>14540775.773528345</v>
      </c>
      <c r="E205" s="1510">
        <f>'Input data'!J145*C205</f>
        <v>68629.758644823334</v>
      </c>
      <c r="F205" s="1511">
        <f>'Input data'!L145</f>
        <v>83170.534418351686</v>
      </c>
      <c r="G205" s="1512">
        <f t="shared" si="171"/>
        <v>13687.941669523079</v>
      </c>
      <c r="H205" s="1511">
        <f t="shared" si="160"/>
        <v>39338.126374126776</v>
      </c>
      <c r="I205" s="1513">
        <f t="shared" si="135"/>
        <v>14540.775773528345</v>
      </c>
      <c r="J205" s="1506">
        <f t="shared" si="170"/>
        <v>0.4</v>
      </c>
      <c r="K205" s="1514">
        <f t="shared" si="162"/>
        <v>4921.3584431312911</v>
      </c>
      <c r="L205" s="1514">
        <f t="shared" si="136"/>
        <v>0</v>
      </c>
      <c r="M205" s="1513">
        <f t="shared" si="163"/>
        <v>4921.3584431312911</v>
      </c>
      <c r="N205" s="1456">
        <f t="shared" si="169"/>
        <v>0.5</v>
      </c>
      <c r="O205" s="1513">
        <f t="shared" si="137"/>
        <v>751.91700000000026</v>
      </c>
      <c r="P205" s="1483">
        <f t="shared" si="166"/>
        <v>5673.2754431312915</v>
      </c>
      <c r="Q205" s="1366">
        <f t="shared" si="138"/>
        <v>47352.792600518558</v>
      </c>
      <c r="R205" s="1366">
        <f t="shared" si="164"/>
        <v>33664.850930995482</v>
      </c>
      <c r="S205" s="1516">
        <f t="shared" si="139"/>
        <v>0.87150683000381035</v>
      </c>
      <c r="T205" s="135" t="str">
        <f t="shared" si="140"/>
        <v>Yes</v>
      </c>
      <c r="U205" s="1528">
        <f t="shared" si="141"/>
        <v>0.87150683000381035</v>
      </c>
      <c r="V205" s="1496">
        <f t="shared" si="142"/>
        <v>49505.683487356204</v>
      </c>
      <c r="W205" s="1493">
        <f t="shared" si="134"/>
        <v>0.40476896254699657</v>
      </c>
      <c r="X205" s="527">
        <f t="shared" si="143"/>
        <v>13687.941669523078</v>
      </c>
      <c r="Y205" s="1511">
        <f t="shared" si="144"/>
        <v>11312.053813112787</v>
      </c>
      <c r="Z205" s="1533">
        <f t="shared" si="145"/>
        <v>3853.2612691553395</v>
      </c>
      <c r="AA205" s="1533">
        <f t="shared" si="146"/>
        <v>0</v>
      </c>
      <c r="AB205" s="1533">
        <f t="shared" si="147"/>
        <v>20652.426735565001</v>
      </c>
      <c r="AC205" s="1533">
        <f t="shared" si="148"/>
        <v>49505.683487356204</v>
      </c>
      <c r="AD205" s="1005">
        <f t="shared" si="149"/>
        <v>0</v>
      </c>
      <c r="AE205" s="1456">
        <f t="shared" si="150"/>
        <v>0.27649232785603273</v>
      </c>
      <c r="AF205" s="1506">
        <f t="shared" si="151"/>
        <v>0.22850010375075208</v>
      </c>
      <c r="AG205" s="1506">
        <f t="shared" si="152"/>
        <v>7.7834725181391867E-2</v>
      </c>
      <c r="AH205" s="1506">
        <f t="shared" si="165"/>
        <v>0</v>
      </c>
      <c r="AI205" s="1506">
        <f t="shared" si="153"/>
        <v>0.41717284321182335</v>
      </c>
      <c r="AJ205" s="1506">
        <f t="shared" si="154"/>
        <v>1</v>
      </c>
      <c r="AK205" s="1557">
        <f t="shared" si="155"/>
        <v>8724.4654641170055</v>
      </c>
      <c r="AL205" s="1558">
        <f t="shared" si="156"/>
        <v>4706.5178738710938</v>
      </c>
      <c r="AM205" s="1558">
        <f t="shared" si="157"/>
        <v>256.95833153497551</v>
      </c>
      <c r="AN205" s="1558">
        <f t="shared" si="158"/>
        <v>13687.941669523074</v>
      </c>
      <c r="AO205" s="1545">
        <f t="shared" si="159"/>
        <v>0</v>
      </c>
    </row>
    <row r="206" spans="1:41">
      <c r="A206" s="100">
        <f>'Input data'!A146</f>
        <v>2046</v>
      </c>
      <c r="B206" s="1508">
        <f>'Input data'!B146</f>
        <v>73.995000000000005</v>
      </c>
      <c r="C206" s="1509">
        <f>'Input data'!C146</f>
        <v>5902.43</v>
      </c>
      <c r="D206" s="1509">
        <f>'Input data'!E146</f>
        <v>13259794.835931966</v>
      </c>
      <c r="E206" s="1510">
        <f>'Input data'!J146*C206</f>
        <v>70943.487278822082</v>
      </c>
      <c r="F206" s="1511">
        <f>'Input data'!L146</f>
        <v>84203.282114754053</v>
      </c>
      <c r="G206" s="1512">
        <f t="shared" si="171"/>
        <v>13687.941669523079</v>
      </c>
      <c r="H206" s="1511">
        <f t="shared" si="160"/>
        <v>39463.620879756534</v>
      </c>
      <c r="I206" s="1513">
        <f t="shared" si="135"/>
        <v>13259.794835931965</v>
      </c>
      <c r="J206" s="1506">
        <f t="shared" si="170"/>
        <v>0.4</v>
      </c>
      <c r="K206" s="1514">
        <f t="shared" si="162"/>
        <v>4487.8075479853123</v>
      </c>
      <c r="L206" s="1514">
        <f t="shared" si="136"/>
        <v>0</v>
      </c>
      <c r="M206" s="1513">
        <f t="shared" si="163"/>
        <v>4487.8075479853123</v>
      </c>
      <c r="N206" s="1456">
        <f t="shared" si="169"/>
        <v>0.5</v>
      </c>
      <c r="O206" s="1513">
        <f t="shared" si="137"/>
        <v>751.91700000000026</v>
      </c>
      <c r="P206" s="1483">
        <f t="shared" si="166"/>
        <v>5239.7245479853127</v>
      </c>
      <c r="Q206" s="1366">
        <f t="shared" si="138"/>
        <v>47911.838001294302</v>
      </c>
      <c r="R206" s="1366">
        <f t="shared" si="164"/>
        <v>34223.896331771219</v>
      </c>
      <c r="S206" s="1516">
        <f t="shared" si="139"/>
        <v>0.85654043576486749</v>
      </c>
      <c r="T206" s="135" t="str">
        <f t="shared" si="140"/>
        <v>Yes</v>
      </c>
      <c r="U206" s="1528">
        <f t="shared" si="141"/>
        <v>0.85654043576486749</v>
      </c>
      <c r="V206" s="1496">
        <f t="shared" si="142"/>
        <v>49979.385782982834</v>
      </c>
      <c r="W206" s="1493">
        <f t="shared" si="134"/>
        <v>0.40644373321612515</v>
      </c>
      <c r="X206" s="527">
        <f t="shared" si="143"/>
        <v>13687.941669523087</v>
      </c>
      <c r="Y206" s="1511">
        <f t="shared" si="144"/>
        <v>10984.940526340208</v>
      </c>
      <c r="Z206" s="1533">
        <f t="shared" si="145"/>
        <v>3957.8175022111564</v>
      </c>
      <c r="AA206" s="1533">
        <f t="shared" si="146"/>
        <v>0</v>
      </c>
      <c r="AB206" s="1533">
        <f t="shared" si="147"/>
        <v>21348.686084908382</v>
      </c>
      <c r="AC206" s="1533">
        <f t="shared" si="148"/>
        <v>49979.385782982834</v>
      </c>
      <c r="AD206" s="1005">
        <f t="shared" si="149"/>
        <v>0</v>
      </c>
      <c r="AE206" s="649">
        <f t="shared" si="150"/>
        <v>0.27387174642277434</v>
      </c>
      <c r="AF206" s="417">
        <f t="shared" si="151"/>
        <v>0.21978942626542644</v>
      </c>
      <c r="AG206" s="417">
        <f t="shared" si="152"/>
        <v>7.9188998428202553E-2</v>
      </c>
      <c r="AH206" s="417">
        <f t="shared" si="165"/>
        <v>0</v>
      </c>
      <c r="AI206" s="417">
        <f t="shared" si="153"/>
        <v>0.4271498288835967</v>
      </c>
      <c r="AJ206" s="417">
        <f t="shared" si="154"/>
        <v>1</v>
      </c>
      <c r="AK206" s="1499">
        <f t="shared" si="155"/>
        <v>7955.8769015591788</v>
      </c>
      <c r="AL206" s="1500">
        <f t="shared" si="156"/>
        <v>5431.8683711103895</v>
      </c>
      <c r="AM206" s="1500">
        <f t="shared" si="157"/>
        <v>300.1963968535166</v>
      </c>
      <c r="AN206" s="1500">
        <f t="shared" si="158"/>
        <v>13687.941669523085</v>
      </c>
      <c r="AO206" s="1186">
        <f t="shared" si="159"/>
        <v>0</v>
      </c>
    </row>
    <row r="207" spans="1:41">
      <c r="A207" s="100">
        <f>'Input data'!A147</f>
        <v>2047</v>
      </c>
      <c r="B207" s="1508">
        <f>'Input data'!B147</f>
        <v>74.373000000000005</v>
      </c>
      <c r="C207" s="1509">
        <f>'Input data'!C147</f>
        <v>6104.119999999999</v>
      </c>
      <c r="D207" s="1509">
        <f>'Input data'!E147</f>
        <v>11978813.898335585</v>
      </c>
      <c r="E207" s="1510">
        <f>'Input data'!J147*C207</f>
        <v>73367.673918776389</v>
      </c>
      <c r="F207" s="1511">
        <f>'Input data'!L147</f>
        <v>85346.487817111978</v>
      </c>
      <c r="G207" s="1512">
        <f t="shared" si="171"/>
        <v>13687.941669523079</v>
      </c>
      <c r="H207" s="1511">
        <f t="shared" si="160"/>
        <v>39652.496975635833</v>
      </c>
      <c r="I207" s="1513">
        <f t="shared" si="135"/>
        <v>11978.813898335586</v>
      </c>
      <c r="J207" s="1506">
        <f t="shared" si="170"/>
        <v>0.4</v>
      </c>
      <c r="K207" s="1514">
        <f t="shared" si="162"/>
        <v>4054.2566528393327</v>
      </c>
      <c r="L207" s="1514">
        <f t="shared" si="136"/>
        <v>0</v>
      </c>
      <c r="M207" s="1513">
        <f t="shared" si="163"/>
        <v>4054.2566528393327</v>
      </c>
      <c r="N207" s="1456">
        <f t="shared" si="169"/>
        <v>0.5</v>
      </c>
      <c r="O207" s="1513">
        <f t="shared" si="137"/>
        <v>751.91700000000026</v>
      </c>
      <c r="P207" s="1483">
        <f t="shared" si="166"/>
        <v>4806.173652839333</v>
      </c>
      <c r="Q207" s="1366">
        <f t="shared" si="138"/>
        <v>48534.264992319586</v>
      </c>
      <c r="R207" s="1366">
        <f t="shared" si="164"/>
        <v>34846.32332279651</v>
      </c>
      <c r="S207" s="1516">
        <f t="shared" si="139"/>
        <v>0.84277802498045462</v>
      </c>
      <c r="T207" s="135" t="str">
        <f t="shared" si="140"/>
        <v>Yes</v>
      </c>
      <c r="U207" s="1528">
        <f t="shared" si="141"/>
        <v>0.84277802498045462</v>
      </c>
      <c r="V207" s="1496">
        <f t="shared" si="142"/>
        <v>50500.164494315475</v>
      </c>
      <c r="W207" s="1493">
        <f t="shared" si="134"/>
        <v>0.40829241148702333</v>
      </c>
      <c r="X207" s="527">
        <f t="shared" si="143"/>
        <v>13687.941669523076</v>
      </c>
      <c r="Y207" s="1511">
        <f t="shared" si="144"/>
        <v>10666.672511365883</v>
      </c>
      <c r="Z207" s="1533">
        <f t="shared" si="145"/>
        <v>4067.3652769905207</v>
      </c>
      <c r="AA207" s="1533">
        <f t="shared" si="146"/>
        <v>0</v>
      </c>
      <c r="AB207" s="1533">
        <f t="shared" si="147"/>
        <v>22078.185036435996</v>
      </c>
      <c r="AC207" s="1533">
        <f t="shared" si="148"/>
        <v>50500.164494315475</v>
      </c>
      <c r="AD207" s="1489">
        <f t="shared" si="149"/>
        <v>0</v>
      </c>
      <c r="AE207" s="649">
        <f t="shared" si="150"/>
        <v>0.27104746700505999</v>
      </c>
      <c r="AF207" s="417">
        <f t="shared" si="151"/>
        <v>0.21122054983734898</v>
      </c>
      <c r="AG207" s="417">
        <f t="shared" si="152"/>
        <v>8.0541624323785352E-2</v>
      </c>
      <c r="AH207" s="417">
        <f t="shared" si="165"/>
        <v>0</v>
      </c>
      <c r="AI207" s="417">
        <f t="shared" si="153"/>
        <v>0.43719035883380569</v>
      </c>
      <c r="AJ207" s="417">
        <f t="shared" si="154"/>
        <v>1</v>
      </c>
      <c r="AK207" s="1499">
        <f t="shared" si="155"/>
        <v>7187.2883390013503</v>
      </c>
      <c r="AL207" s="1500">
        <f t="shared" si="156"/>
        <v>6156.3768303570751</v>
      </c>
      <c r="AM207" s="1500">
        <f t="shared" si="157"/>
        <v>344.27650016464906</v>
      </c>
      <c r="AN207" s="1500">
        <f t="shared" si="158"/>
        <v>13687.941669523074</v>
      </c>
      <c r="AO207" s="1186">
        <f t="shared" si="159"/>
        <v>0</v>
      </c>
    </row>
    <row r="208" spans="1:41">
      <c r="A208" s="100">
        <f>'Input data'!A148</f>
        <v>2048</v>
      </c>
      <c r="B208" s="1508">
        <f>'Input data'!B148</f>
        <v>74.753</v>
      </c>
      <c r="C208" s="1509">
        <f>'Input data'!C148</f>
        <v>6308.13</v>
      </c>
      <c r="D208" s="1509">
        <f>'Input data'!E148</f>
        <v>10697832.960739207</v>
      </c>
      <c r="E208" s="1510">
        <f>'Input data'!J148*C208</f>
        <v>75819.745496033996</v>
      </c>
      <c r="F208" s="1511">
        <f>'Input data'!L148</f>
        <v>86517.578456773204</v>
      </c>
      <c r="G208" s="1512">
        <f t="shared" si="171"/>
        <v>13687.941669523079</v>
      </c>
      <c r="H208" s="1511">
        <f t="shared" si="160"/>
        <v>39857.373647073255</v>
      </c>
      <c r="I208" s="1513">
        <f t="shared" si="135"/>
        <v>10697.832960739206</v>
      </c>
      <c r="J208" s="1506">
        <f t="shared" si="170"/>
        <v>0.4</v>
      </c>
      <c r="K208" s="1514">
        <f t="shared" si="162"/>
        <v>3620.7057576933535</v>
      </c>
      <c r="L208" s="1514">
        <f t="shared" si="136"/>
        <v>0</v>
      </c>
      <c r="M208" s="1513">
        <f t="shared" si="163"/>
        <v>3620.7057576933535</v>
      </c>
      <c r="N208" s="1456">
        <f t="shared" si="169"/>
        <v>0.5</v>
      </c>
      <c r="O208" s="1513">
        <f t="shared" si="137"/>
        <v>751.91700000000026</v>
      </c>
      <c r="P208" s="1483">
        <f t="shared" si="166"/>
        <v>4372.6227576933534</v>
      </c>
      <c r="Q208" s="1366">
        <f t="shared" si="138"/>
        <v>49172.692558902978</v>
      </c>
      <c r="R208" s="1366">
        <f t="shared" si="164"/>
        <v>35484.750889379895</v>
      </c>
      <c r="S208" s="1516">
        <f t="shared" si="139"/>
        <v>0.82997513401691247</v>
      </c>
      <c r="T208" s="135" t="str">
        <f t="shared" si="140"/>
        <v>Yes</v>
      </c>
      <c r="U208" s="1528">
        <f t="shared" si="141"/>
        <v>0.82997513401691247</v>
      </c>
      <c r="V208" s="1496">
        <f t="shared" si="142"/>
        <v>51032.827567393309</v>
      </c>
      <c r="W208" s="1493">
        <f t="shared" si="134"/>
        <v>0.41014498466469618</v>
      </c>
      <c r="X208" s="527">
        <f t="shared" si="143"/>
        <v>13687.941669523083</v>
      </c>
      <c r="Y208" s="1511">
        <f t="shared" si="144"/>
        <v>10350.637470338455</v>
      </c>
      <c r="Z208" s="1533">
        <f t="shared" si="145"/>
        <v>4178.1731580591822</v>
      </c>
      <c r="AA208" s="1533">
        <f t="shared" si="146"/>
        <v>0</v>
      </c>
      <c r="AB208" s="1533">
        <f t="shared" si="147"/>
        <v>22816.075269472592</v>
      </c>
      <c r="AC208" s="1533">
        <f t="shared" si="148"/>
        <v>51032.827567393309</v>
      </c>
      <c r="AD208" s="1489">
        <f t="shared" si="149"/>
        <v>0</v>
      </c>
      <c r="AE208" s="649">
        <f t="shared" si="150"/>
        <v>0.2682183669217027</v>
      </c>
      <c r="AF208" s="417">
        <f t="shared" si="151"/>
        <v>0.20282312314890907</v>
      </c>
      <c r="AG208" s="417">
        <f t="shared" si="152"/>
        <v>8.1872264525055749E-2</v>
      </c>
      <c r="AH208" s="417">
        <f t="shared" si="165"/>
        <v>0</v>
      </c>
      <c r="AI208" s="417">
        <f t="shared" si="153"/>
        <v>0.44708624540433256</v>
      </c>
      <c r="AJ208" s="417">
        <f t="shared" si="154"/>
        <v>1</v>
      </c>
      <c r="AK208" s="1499">
        <f t="shared" si="155"/>
        <v>6418.6997764435237</v>
      </c>
      <c r="AL208" s="1500">
        <f t="shared" si="156"/>
        <v>6880.2142237840762</v>
      </c>
      <c r="AM208" s="1500">
        <f t="shared" si="157"/>
        <v>389.02766929548244</v>
      </c>
      <c r="AN208" s="1500">
        <f t="shared" si="158"/>
        <v>13687.941669523083</v>
      </c>
      <c r="AO208" s="1186">
        <f t="shared" si="159"/>
        <v>0</v>
      </c>
    </row>
    <row r="209" spans="1:41">
      <c r="A209" s="100">
        <f>'Input data'!A149</f>
        <v>2049</v>
      </c>
      <c r="B209" s="1508">
        <f>'Input data'!B149</f>
        <v>75.134</v>
      </c>
      <c r="C209" s="1509">
        <f>'Input data'!C149</f>
        <v>6522.2000000000007</v>
      </c>
      <c r="D209" s="1509">
        <f>'Input data'!E149</f>
        <v>9416852.0231428221</v>
      </c>
      <c r="E209" s="1510">
        <f>'Input data'!J149*C209</f>
        <v>78392.731930735885</v>
      </c>
      <c r="F209" s="1511">
        <f>'Input data'!L149</f>
        <v>87809.583953878711</v>
      </c>
      <c r="G209" s="1512">
        <f t="shared" si="171"/>
        <v>13687.941669523079</v>
      </c>
      <c r="H209" s="1511">
        <f t="shared" si="160"/>
        <v>40131.632124594486</v>
      </c>
      <c r="I209" s="1513">
        <f t="shared" si="135"/>
        <v>9416.8520231428229</v>
      </c>
      <c r="J209" s="1506">
        <f t="shared" si="170"/>
        <v>0.4</v>
      </c>
      <c r="K209" s="1514">
        <f t="shared" si="162"/>
        <v>3187.1548625473733</v>
      </c>
      <c r="L209" s="1514">
        <f t="shared" si="136"/>
        <v>0</v>
      </c>
      <c r="M209" s="1513">
        <f t="shared" si="163"/>
        <v>3187.1548625473733</v>
      </c>
      <c r="N209" s="1456">
        <f t="shared" si="169"/>
        <v>0.5</v>
      </c>
      <c r="O209" s="1513">
        <f t="shared" si="137"/>
        <v>751.91700000000026</v>
      </c>
      <c r="P209" s="1483">
        <f t="shared" si="166"/>
        <v>3939.0718625473737</v>
      </c>
      <c r="Q209" s="1366">
        <f t="shared" si="138"/>
        <v>49880.501931570187</v>
      </c>
      <c r="R209" s="1366">
        <f t="shared" si="164"/>
        <v>36192.560262047104</v>
      </c>
      <c r="S209" s="1516">
        <f t="shared" si="139"/>
        <v>0.81827358236689396</v>
      </c>
      <c r="T209" s="135" t="str">
        <f t="shared" si="140"/>
        <v>Yes</v>
      </c>
      <c r="U209" s="1528">
        <f t="shared" si="141"/>
        <v>0.81827358236689396</v>
      </c>
      <c r="V209" s="1496">
        <f t="shared" si="142"/>
        <v>51617.023691831622</v>
      </c>
      <c r="W209" s="1493">
        <f t="shared" si="134"/>
        <v>0.41217095711394036</v>
      </c>
      <c r="X209" s="527">
        <f t="shared" si="143"/>
        <v>13687.941669523083</v>
      </c>
      <c r="Y209" s="1511">
        <f t="shared" si="144"/>
        <v>10044.285066339367</v>
      </c>
      <c r="Z209" s="1533">
        <f t="shared" si="145"/>
        <v>4294.4451207098782</v>
      </c>
      <c r="AA209" s="1533">
        <f t="shared" si="146"/>
        <v>0</v>
      </c>
      <c r="AB209" s="1533">
        <f t="shared" si="147"/>
        <v>23590.351835259287</v>
      </c>
      <c r="AC209" s="1533">
        <f t="shared" si="148"/>
        <v>51617.023691831622</v>
      </c>
      <c r="AD209" s="1489">
        <f t="shared" si="149"/>
        <v>0</v>
      </c>
      <c r="AE209" s="649">
        <f t="shared" si="150"/>
        <v>0.26518269924364501</v>
      </c>
      <c r="AF209" s="417">
        <f t="shared" si="151"/>
        <v>0.19459248805794419</v>
      </c>
      <c r="AG209" s="417">
        <f t="shared" si="152"/>
        <v>8.3198232163654809E-2</v>
      </c>
      <c r="AH209" s="417">
        <f t="shared" si="165"/>
        <v>0</v>
      </c>
      <c r="AI209" s="417">
        <f t="shared" si="153"/>
        <v>0.45702658053475587</v>
      </c>
      <c r="AJ209" s="417">
        <f t="shared" si="154"/>
        <v>0.99999999999999989</v>
      </c>
      <c r="AK209" s="1499">
        <f t="shared" si="155"/>
        <v>5650.1112138856934</v>
      </c>
      <c r="AL209" s="1500">
        <f t="shared" si="156"/>
        <v>7603.2813661405662</v>
      </c>
      <c r="AM209" s="1500">
        <f t="shared" si="157"/>
        <v>434.54908949682107</v>
      </c>
      <c r="AN209" s="1500">
        <f t="shared" si="158"/>
        <v>13687.941669523079</v>
      </c>
      <c r="AO209" s="1186">
        <f t="shared" si="159"/>
        <v>0</v>
      </c>
    </row>
    <row r="210" spans="1:41" ht="15" thickBot="1">
      <c r="A210" s="161">
        <f>'Input data'!A150</f>
        <v>2050</v>
      </c>
      <c r="B210" s="1517">
        <f>'Input data'!B150</f>
        <v>75.518000000000001</v>
      </c>
      <c r="C210" s="1518">
        <f>'Input data'!C150</f>
        <v>6747.1300000000019</v>
      </c>
      <c r="D210" s="1518">
        <f>'Input data'!E150</f>
        <v>8135871.0855464395</v>
      </c>
      <c r="E210" s="1519">
        <f>'Input data'!J150*C210</f>
        <v>81096.248718503892</v>
      </c>
      <c r="F210" s="1520">
        <f>'Input data'!L150</f>
        <v>89232.119804050337</v>
      </c>
      <c r="G210" s="1521">
        <f t="shared" si="171"/>
        <v>13687.941669523079</v>
      </c>
      <c r="H210" s="1520">
        <f t="shared" si="160"/>
        <v>40480.789848047149</v>
      </c>
      <c r="I210" s="1522">
        <f t="shared" si="135"/>
        <v>8135.8710855464396</v>
      </c>
      <c r="J210" s="1523">
        <f t="shared" si="170"/>
        <v>0.4</v>
      </c>
      <c r="K210" s="1520">
        <f t="shared" si="162"/>
        <v>2753.6039674013932</v>
      </c>
      <c r="L210" s="1520">
        <f t="shared" si="136"/>
        <v>0</v>
      </c>
      <c r="M210" s="1522">
        <f t="shared" si="163"/>
        <v>2753.6039674013932</v>
      </c>
      <c r="N210" s="1524">
        <f t="shared" si="169"/>
        <v>0.5</v>
      </c>
      <c r="O210" s="1522">
        <f t="shared" si="137"/>
        <v>751.91700000000026</v>
      </c>
      <c r="P210" s="1484">
        <f t="shared" si="166"/>
        <v>3505.5209674013936</v>
      </c>
      <c r="Q210" s="1487">
        <f t="shared" si="138"/>
        <v>50663.210550168835</v>
      </c>
      <c r="R210" s="1487">
        <f t="shared" si="164"/>
        <v>36975.268880645759</v>
      </c>
      <c r="S210" s="1525">
        <f t="shared" si="139"/>
        <v>0.80764319922730154</v>
      </c>
      <c r="T210" s="1105" t="str">
        <f t="shared" si="140"/>
        <v>Yes</v>
      </c>
      <c r="U210" s="1530">
        <f t="shared" si="141"/>
        <v>0.80764319922730154</v>
      </c>
      <c r="V210" s="1497">
        <f t="shared" si="142"/>
        <v>52256.850923404578</v>
      </c>
      <c r="W210" s="1494">
        <f t="shared" si="134"/>
        <v>0.41437174149669154</v>
      </c>
      <c r="X210" s="670">
        <f t="shared" si="143"/>
        <v>13687.941669523076</v>
      </c>
      <c r="Y210" s="1520">
        <f t="shared" si="144"/>
        <v>9748.385290384791</v>
      </c>
      <c r="Z210" s="1534">
        <f t="shared" si="145"/>
        <v>4416.6156843527096</v>
      </c>
      <c r="AA210" s="1534">
        <f t="shared" si="146"/>
        <v>0</v>
      </c>
      <c r="AB210" s="1534">
        <f t="shared" si="147"/>
        <v>24403.908279144001</v>
      </c>
      <c r="AC210" s="1534">
        <f t="shared" si="148"/>
        <v>52256.850923404578</v>
      </c>
      <c r="AD210" s="1490">
        <f t="shared" si="149"/>
        <v>0</v>
      </c>
      <c r="AE210" s="650">
        <f t="shared" si="150"/>
        <v>0.26193583095135531</v>
      </c>
      <c r="AF210" s="651">
        <f t="shared" si="151"/>
        <v>0.18654750751577961</v>
      </c>
      <c r="AG210" s="651">
        <f t="shared" si="152"/>
        <v>8.4517448072528506E-2</v>
      </c>
      <c r="AH210" s="651">
        <f t="shared" si="165"/>
        <v>0</v>
      </c>
      <c r="AI210" s="651">
        <f>AB210/AC210</f>
        <v>0.46699921346033657</v>
      </c>
      <c r="AJ210" s="651">
        <f t="shared" si="154"/>
        <v>1</v>
      </c>
      <c r="AK210" s="1501">
        <f t="shared" si="155"/>
        <v>4881.5226513278631</v>
      </c>
      <c r="AL210" s="1502">
        <f t="shared" si="156"/>
        <v>8325.5993581836865</v>
      </c>
      <c r="AM210" s="1502">
        <f t="shared" si="157"/>
        <v>480.81966001152483</v>
      </c>
      <c r="AN210" s="1502">
        <f t="shared" si="158"/>
        <v>13687.941669523074</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7773437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c r="J1" s="99"/>
      <c r="K1" s="99"/>
    </row>
    <row r="2" spans="1:11" ht="15" thickBot="1">
      <c r="A2" s="2" t="s">
        <v>543</v>
      </c>
      <c r="B2" s="413" t="s">
        <v>555</v>
      </c>
      <c r="J2" s="99"/>
      <c r="K2" s="99"/>
    </row>
    <row r="3" spans="1:11" ht="15" thickBot="1">
      <c r="A3" s="2"/>
      <c r="C3" s="728" t="s">
        <v>551</v>
      </c>
      <c r="D3" s="581" t="s">
        <v>558</v>
      </c>
      <c r="E3" s="728" t="s">
        <v>552</v>
      </c>
      <c r="F3" s="581" t="s">
        <v>558</v>
      </c>
      <c r="G3" s="728" t="s">
        <v>553</v>
      </c>
      <c r="H3" s="581" t="s">
        <v>558</v>
      </c>
      <c r="J3" s="99"/>
      <c r="K3" s="99"/>
    </row>
    <row r="4" spans="1:11">
      <c r="A4" s="1816" t="s">
        <v>556</v>
      </c>
      <c r="B4" s="1802" t="s">
        <v>557</v>
      </c>
      <c r="C4" s="579">
        <v>0.5</v>
      </c>
      <c r="D4" s="116">
        <f>2017+10</f>
        <v>2027</v>
      </c>
      <c r="E4" s="579">
        <f>C4</f>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 thickBot="1">
      <c r="A6" s="1818"/>
      <c r="B6" s="1804"/>
      <c r="C6" s="577">
        <v>0.8</v>
      </c>
      <c r="D6" s="140">
        <f>2017+30</f>
        <v>2047</v>
      </c>
      <c r="E6" s="577">
        <f t="shared" si="0"/>
        <v>0.8</v>
      </c>
      <c r="F6" s="140">
        <f>15+2017</f>
        <v>2032</v>
      </c>
      <c r="G6" s="577">
        <f t="shared" si="1"/>
        <v>0.8</v>
      </c>
      <c r="H6" s="140">
        <f t="shared" si="1"/>
        <v>2032</v>
      </c>
      <c r="J6" s="99"/>
      <c r="K6" s="99"/>
    </row>
    <row r="7" spans="1:11" ht="15" thickBot="1">
      <c r="A7" s="727"/>
      <c r="B7" s="727"/>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1.8" thickBot="1">
      <c r="A9" s="1861"/>
      <c r="B9" s="452" t="s">
        <v>473</v>
      </c>
      <c r="C9" s="287" t="s">
        <v>490</v>
      </c>
      <c r="D9" s="287" t="s">
        <v>377</v>
      </c>
      <c r="E9" s="287" t="s">
        <v>477</v>
      </c>
      <c r="F9" s="453" t="s">
        <v>303</v>
      </c>
      <c r="G9" s="452" t="s">
        <v>493</v>
      </c>
      <c r="H9" s="287" t="s">
        <v>494</v>
      </c>
      <c r="I9" s="453" t="s">
        <v>303</v>
      </c>
      <c r="J9" s="327"/>
      <c r="K9" s="99"/>
    </row>
    <row r="10" spans="1:11" ht="15.6">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6">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6">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2"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6">
      <c r="A14" s="470"/>
      <c r="C14" s="624"/>
      <c r="E14" s="624"/>
      <c r="F14" s="624"/>
      <c r="G14" s="436"/>
      <c r="J14" s="99"/>
      <c r="K14" s="99">
        <v>0.21707953063885269</v>
      </c>
    </row>
    <row r="15" spans="1:11" ht="15.6" customHeight="1" thickBot="1">
      <c r="B15" s="413" t="s">
        <v>554</v>
      </c>
      <c r="J15" s="99"/>
      <c r="K15" s="99">
        <v>0.71200000000000008</v>
      </c>
    </row>
    <row r="16" spans="1:11" ht="1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 thickBot="1">
      <c r="A24" s="583"/>
      <c r="B24" s="413" t="s">
        <v>559</v>
      </c>
      <c r="C24" s="58"/>
      <c r="D24" s="58"/>
      <c r="E24" s="576"/>
    </row>
    <row r="25" spans="1:11" ht="15" thickBot="1">
      <c r="A25" s="584"/>
      <c r="B25" s="588"/>
      <c r="C25" s="592" t="s">
        <v>551</v>
      </c>
      <c r="D25" s="593" t="s">
        <v>558</v>
      </c>
      <c r="E25" s="728" t="s">
        <v>552</v>
      </c>
      <c r="F25" s="581" t="s">
        <v>558</v>
      </c>
      <c r="G25" s="729"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 thickBot="1">
      <c r="A27" s="1818"/>
      <c r="B27" s="1804"/>
      <c r="C27" s="577">
        <v>0.5</v>
      </c>
      <c r="D27" s="163">
        <f>2017+10</f>
        <v>2027</v>
      </c>
      <c r="E27" s="1831"/>
      <c r="F27" s="1833"/>
      <c r="G27" s="1859"/>
      <c r="H27" s="1833"/>
    </row>
    <row r="28" spans="1:11" ht="15" thickBot="1">
      <c r="A28" s="727"/>
      <c r="B28" s="727"/>
      <c r="C28" s="576"/>
      <c r="D28" s="104"/>
      <c r="E28" s="576"/>
      <c r="F28" s="104"/>
      <c r="G28" s="576"/>
      <c r="H28" s="104"/>
    </row>
    <row r="29" spans="1:11">
      <c r="A29" s="594"/>
      <c r="B29" s="600"/>
      <c r="C29" s="1827" t="s">
        <v>551</v>
      </c>
      <c r="D29" s="1828"/>
      <c r="E29" s="1827" t="s">
        <v>552</v>
      </c>
      <c r="F29" s="1828"/>
      <c r="G29" s="1829" t="s">
        <v>553</v>
      </c>
      <c r="H29" s="1828"/>
    </row>
    <row r="30" spans="1:11" ht="15" thickBot="1">
      <c r="A30" s="596"/>
      <c r="B30" s="601"/>
      <c r="C30" s="597" t="s">
        <v>562</v>
      </c>
      <c r="D30" s="598" t="s">
        <v>176</v>
      </c>
      <c r="E30" s="597" t="s">
        <v>562</v>
      </c>
      <c r="F30" s="598" t="s">
        <v>176</v>
      </c>
      <c r="G30" s="599" t="s">
        <v>562</v>
      </c>
      <c r="H30" s="598" t="s">
        <v>176</v>
      </c>
    </row>
    <row r="31" spans="1:11" ht="15" thickBot="1">
      <c r="A31" s="602" t="s">
        <v>561</v>
      </c>
      <c r="B31" s="603" t="s">
        <v>557</v>
      </c>
      <c r="C31" s="577">
        <v>0.1</v>
      </c>
      <c r="D31" s="587">
        <v>0.9</v>
      </c>
      <c r="E31" s="577">
        <v>0.1</v>
      </c>
      <c r="F31" s="587">
        <v>0.9</v>
      </c>
      <c r="G31" s="578">
        <v>0.5</v>
      </c>
      <c r="H31" s="587">
        <v>0.5</v>
      </c>
    </row>
    <row r="32" spans="1:11">
      <c r="A32" s="583"/>
      <c r="B32" s="58"/>
      <c r="C32" s="58"/>
      <c r="D32" s="58"/>
      <c r="E32" s="576"/>
    </row>
    <row r="33" spans="1:24" ht="15" thickBot="1">
      <c r="A33" s="583"/>
      <c r="B33" s="413" t="s">
        <v>563</v>
      </c>
      <c r="C33" s="58"/>
      <c r="D33" s="58"/>
      <c r="E33" s="576"/>
    </row>
    <row r="34" spans="1:24" ht="28.95"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 thickBot="1">
      <c r="A41" s="2"/>
      <c r="B41" s="413" t="s">
        <v>567</v>
      </c>
      <c r="X41" s="104"/>
    </row>
    <row r="42" spans="1:24" ht="1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969"/>
    </row>
    <row r="43" spans="1:24" ht="29.4"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6">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2"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2"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6">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6">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6">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6">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6">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6">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6">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2"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6">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6">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6">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6">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6">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6">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6">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6">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6">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2"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6">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2"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6">
      <c r="A81" s="99"/>
      <c r="B81" s="99"/>
      <c r="C81" s="1334"/>
      <c r="D81" s="1334"/>
      <c r="E81" s="1334"/>
      <c r="F81" s="1334"/>
      <c r="G81" s="1334"/>
      <c r="H81" s="1334"/>
      <c r="L81" s="1396"/>
      <c r="M81" s="1396"/>
      <c r="N81" s="1396"/>
      <c r="O81" s="1334"/>
      <c r="P81" s="1334"/>
      <c r="Q81" s="7"/>
      <c r="R81" s="1397"/>
      <c r="S81" s="1397"/>
      <c r="Y81" s="1398"/>
    </row>
    <row r="82" spans="1:91" ht="16.2"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6">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6">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6">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2"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6">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8">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6">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4">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 thickBot="1">
      <c r="E93" s="10"/>
      <c r="F93" s="10"/>
      <c r="G93" s="10"/>
      <c r="H93" s="10"/>
      <c r="I93" s="10"/>
      <c r="J93" s="10"/>
      <c r="K93" s="10"/>
      <c r="L93" s="10"/>
      <c r="M93" s="10"/>
      <c r="N93" s="10"/>
      <c r="O93" s="10"/>
      <c r="P93" s="10"/>
      <c r="Q93" s="10"/>
      <c r="R93" s="10"/>
      <c r="S93" s="10"/>
      <c r="V93" s="740"/>
      <c r="CG93" s="1" t="s">
        <v>553</v>
      </c>
    </row>
    <row r="94" spans="1:91" ht="34.950000000000003"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660</v>
      </c>
      <c r="BW94" s="1794"/>
      <c r="BX94" s="1909"/>
      <c r="BY94" s="1793" t="s">
        <v>656</v>
      </c>
      <c r="BZ94" s="1794"/>
      <c r="CA94" s="1795"/>
      <c r="CB94" s="1908" t="s">
        <v>661</v>
      </c>
      <c r="CC94" s="1907"/>
      <c r="CD94" s="1908" t="s">
        <v>657</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1" t="s">
        <v>743</v>
      </c>
    </row>
    <row r="96" spans="1:91" ht="31.8"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1"/>
    </row>
    <row r="97" spans="1:91">
      <c r="A97" s="127">
        <f>'Input data'!A117</f>
        <v>2017</v>
      </c>
      <c r="B97" s="662">
        <f>'Input data'!B117</f>
        <v>56.521999999999998</v>
      </c>
      <c r="C97" s="236">
        <f>'Input data'!C117</f>
        <v>3120.54</v>
      </c>
      <c r="D97" s="236">
        <f>'Input data'!D117</f>
        <v>49995051</v>
      </c>
      <c r="E97" s="1002">
        <f>'Input data'!F117</f>
        <v>0.71479999999999999</v>
      </c>
      <c r="F97" s="814">
        <f>'Input data'!G117</f>
        <v>0.28959999999999997</v>
      </c>
      <c r="G97" s="1003">
        <f>'Input data'!H117</f>
        <v>501</v>
      </c>
      <c r="H97" s="529">
        <f>'Input data'!I117</f>
        <v>424.26313389388866</v>
      </c>
      <c r="I97" s="528">
        <f>'Input data'!K117</f>
        <v>23980.200853950373</v>
      </c>
      <c r="J97" s="957">
        <f>I97*B10</f>
        <v>11144.041726220405</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11144.041726220405</v>
      </c>
      <c r="AA97" s="1469">
        <f>Z97-J97</f>
        <v>0</v>
      </c>
      <c r="AB97" s="1091">
        <f>AA97/Z97</f>
        <v>0</v>
      </c>
      <c r="AC97" s="1491" t="str">
        <f>IF(AND(AB97&gt;=0,AB97&lt;=1),"Yes","No")</f>
        <v>Yes</v>
      </c>
      <c r="AD97" s="1119">
        <f>IF(AB97&lt;=0,0,IF(AB97&gt;=1,1,AB97))</f>
        <v>0</v>
      </c>
      <c r="AE97" s="649">
        <f t="shared" ref="AE97:AE130" si="10">1-AK97/I97</f>
        <v>0</v>
      </c>
      <c r="AF97" s="530">
        <f>AK97/B97</f>
        <v>424.26313389388878</v>
      </c>
      <c r="AG97" s="528">
        <f>J97</f>
        <v>11144.041726220405</v>
      </c>
      <c r="AH97" s="528">
        <f>V97+I97*$C$10*$G$10</f>
        <v>6573.322273428581</v>
      </c>
      <c r="AI97" s="528">
        <f>($C$10*$H$10*$I$97+X97)</f>
        <v>3350.003081988611</v>
      </c>
      <c r="AJ97" s="528">
        <f t="shared" ref="AJ97:AJ130" si="11">I97*$D$10*(1-AD97)</f>
        <v>2912.8337723127793</v>
      </c>
      <c r="AK97" s="528">
        <f>SUM(AG97:AJ97)</f>
        <v>23980.20085395038</v>
      </c>
      <c r="AL97" s="716">
        <f t="shared" ref="AL97:AL130" si="12">AG97-(I97*$B$10-Y97)*(1-AD97)</f>
        <v>0</v>
      </c>
      <c r="AM97" s="417">
        <f>AG97/AK97</f>
        <v>0.46471844811027052</v>
      </c>
      <c r="AN97" s="417">
        <f>AH97/AK97</f>
        <v>0.274114562820508</v>
      </c>
      <c r="AO97" s="417">
        <f>AI97/AK97</f>
        <v>0.13969870821314442</v>
      </c>
      <c r="AP97" s="417">
        <f>AJ97/AK97</f>
        <v>0.12146828085607687</v>
      </c>
      <c r="AQ97" s="417">
        <f>SUM(AM97:AP97)</f>
        <v>0.99999999999999989</v>
      </c>
      <c r="AR97" s="1086">
        <f t="shared" ref="AR97:AR130" si="13">(I97*$C$76*$B$10-$C$66/($D$66+$C$66)*X97)*(1-AD97)</f>
        <v>2674.7146867156812</v>
      </c>
      <c r="AS97" s="938">
        <f t="shared" ref="AS97:AS130" si="14">(I97*$D$76*$B$10-$D$66/($D$66+$C$66)*X97)*(1-AD97)</f>
        <v>3392.2618310106586</v>
      </c>
      <c r="AT97" s="938">
        <f t="shared" ref="AT97:AT130" si="15">(I97*$B$10*$E$76-(Q97))*(1-AD97)</f>
        <v>657.47885516966164</v>
      </c>
      <c r="AU97" s="938">
        <f t="shared" ref="AU97:AU130" si="16">I97*$F$76*(1-AD97)*$B$10</f>
        <v>0</v>
      </c>
      <c r="AV97" s="938">
        <f t="shared" ref="AV97:AV130" si="17">I97*$G$76*(1-AD97)*$B$10</f>
        <v>0</v>
      </c>
      <c r="AW97" s="938">
        <f t="shared" ref="AW97:AW130" si="18">I97*$G$76*(1-AD97)*$B$10</f>
        <v>0</v>
      </c>
      <c r="AX97" s="938">
        <f t="shared" ref="AX97:AX130" si="19">I97*$I$76*(1-AD97)*$AM$97</f>
        <v>2798.4521345640801</v>
      </c>
      <c r="AY97" s="938">
        <f t="shared" ref="AY97:AY130" si="20">(I97*$J$76*$B$10-R97)*(1-AD97)</f>
        <v>404.59237402326602</v>
      </c>
      <c r="AZ97" s="938">
        <f t="shared" ref="AZ97:AZ130" si="21">(I97*$K$76*$B$10-S97)*(1-AD97)</f>
        <v>588.07292715063488</v>
      </c>
      <c r="BA97" s="938">
        <f t="shared" ref="BA97:BA130" si="22">(I97*$L$76*$B$10-T97)*(1-AD97)</f>
        <v>516.96278580125113</v>
      </c>
      <c r="BB97" s="938">
        <f t="shared" ref="BB97:BB130" si="23">(I97*$M$76*$B$10-U97)*(1-AD97)</f>
        <v>111.50613178516774</v>
      </c>
      <c r="BC97" s="1469">
        <f>SUM(AR97:BB97)</f>
        <v>11144.041726220403</v>
      </c>
      <c r="BD97" s="1158">
        <f>BC97-AG97</f>
        <v>0</v>
      </c>
      <c r="BE97" s="436">
        <f>AR97/BC97</f>
        <v>0.24001298204245269</v>
      </c>
      <c r="BF97" s="624">
        <f>AS97/BC97</f>
        <v>0.30440139352934503</v>
      </c>
      <c r="BG97" s="624">
        <f>AT97/BC97</f>
        <v>5.8998240613430585E-2</v>
      </c>
      <c r="BH97" s="624">
        <f>AU97/BC97</f>
        <v>0</v>
      </c>
      <c r="BI97" s="624">
        <f>AV97/BC97</f>
        <v>0</v>
      </c>
      <c r="BJ97" s="624">
        <f>AW97/BC97</f>
        <v>0</v>
      </c>
      <c r="BK97" s="624">
        <f>SUM(AX97:BB97)/BC97</f>
        <v>0.39658738381477154</v>
      </c>
      <c r="BL97" s="624">
        <f>SUM(BE97:BK97)</f>
        <v>0.99999999999999989</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111.48217523856577</v>
      </c>
      <c r="BW97" s="647">
        <f>((AK97-AM97*AK97)+(AC137-AC137*AE137))/(AK97+AC137)</f>
        <v>0.28613027236389205</v>
      </c>
      <c r="BX97" s="1694">
        <f t="shared" ref="BX97:BX130" si="24">D137/10^6</f>
        <v>49.995050999999997</v>
      </c>
      <c r="BY97" s="956">
        <f>(AK97+AC177)*1000/10^6</f>
        <v>111.48217523856577</v>
      </c>
      <c r="BZ97" s="647">
        <f>((AK97-AM97*AK97)+(AC177-AC177*AE177))/(AK97+AC177)</f>
        <v>0.28613027236389205</v>
      </c>
      <c r="CA97" s="677">
        <f t="shared" ref="CA97:CA130" si="25">D177/10^6</f>
        <v>49.995050999999997</v>
      </c>
      <c r="CB97" s="708">
        <f t="shared" ref="CB97:CB130" si="26">AE97</f>
        <v>0</v>
      </c>
      <c r="CC97" s="715">
        <f>W177</f>
        <v>0</v>
      </c>
      <c r="CD97" s="647">
        <f t="shared" ref="CD97:CD130" si="27">AE97</f>
        <v>0</v>
      </c>
      <c r="CE97" s="715">
        <f>W177</f>
        <v>0</v>
      </c>
      <c r="CG97" s="956">
        <f>$I97*$E$75*$L97</f>
        <v>1241.0306217429022</v>
      </c>
      <c r="CH97" s="957">
        <f>$I97*$J$75*M97</f>
        <v>480.37443994244501</v>
      </c>
      <c r="CI97" s="957">
        <f>$I97*$K$75*N97</f>
        <v>1987.1959642118491</v>
      </c>
      <c r="CJ97" s="957">
        <f>$I97*$L$75*O97</f>
        <v>2826.4498003218146</v>
      </c>
      <c r="CK97" s="957">
        <f>$I97*$M$75*P97</f>
        <v>38.271447209568926</v>
      </c>
      <c r="CL97" s="957">
        <f>SUM(CG97:CK97)</f>
        <v>6573.3222734285791</v>
      </c>
      <c r="CM97" s="1130">
        <f>AH97-CL97</f>
        <v>0</v>
      </c>
    </row>
    <row r="98" spans="1:91">
      <c r="A98" s="127">
        <f>'Input data'!A118</f>
        <v>2018</v>
      </c>
      <c r="B98" s="662">
        <f>'Input data'!B118</f>
        <v>57.436</v>
      </c>
      <c r="C98" s="236">
        <f>'Input data'!C118</f>
        <v>3152.24</v>
      </c>
      <c r="D98" s="236">
        <f>'Input data'!D118</f>
        <v>50172070.130067617</v>
      </c>
      <c r="E98" s="1004">
        <f>($E$110-$E$97)/($A$110-$A$97)+E97</f>
        <v>0.73673846153846156</v>
      </c>
      <c r="F98" s="560">
        <f>($F$110-$F$97)/($A$110-$A$97)+F97</f>
        <v>0.29578461538461537</v>
      </c>
      <c r="G98" s="1005">
        <f>B98*F98*'Input data'!$C$9</f>
        <v>519.97374548094456</v>
      </c>
      <c r="H98" s="529">
        <f>'Input data'!I118</f>
        <v>424.26313389388866</v>
      </c>
      <c r="I98" s="528">
        <f>'Input data'!K118</f>
        <v>24367.97735832939</v>
      </c>
      <c r="J98" s="528">
        <f>J97*0.94</f>
        <v>10475.39922264718</v>
      </c>
      <c r="K98" s="530">
        <f>I98*$B$10-J98</f>
        <v>848.84939890186615</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20.070540300992661</v>
      </c>
      <c r="R98" s="528">
        <f t="shared" ref="R98:R130" si="34">H98*$J$75*M98*B98-H98*$J$75*$M$97*B98</f>
        <v>14.005846825095261</v>
      </c>
      <c r="S98" s="528">
        <f t="shared" ref="S98:S130" si="35">$K$75*N98*I98-$K$75*$N$97*I98</f>
        <v>41.014919728995665</v>
      </c>
      <c r="T98" s="528">
        <f t="shared" ref="T98:T130" si="36">H98*$L$75*O98*B98-H98*$L$75*$O$97*B98</f>
        <v>27.616879392653573</v>
      </c>
      <c r="U98" s="530">
        <f t="shared" ref="U98:U130" si="37">H98*$M$75*P98*B98-H98*$M$75*$P$97*B98</f>
        <v>0</v>
      </c>
      <c r="V98" s="528">
        <f t="shared" ref="V98:V130" si="38">SUM(Q98:U98)</f>
        <v>102.70818624773716</v>
      </c>
      <c r="W98" s="649">
        <v>0.05</v>
      </c>
      <c r="X98" s="530">
        <f t="shared" ref="X98:X130" si="39">W98*($C$76+$D$76)*$B$10*$I$97</f>
        <v>303.348825886317</v>
      </c>
      <c r="Y98" s="527">
        <f>X98+V98</f>
        <v>406.05701213405416</v>
      </c>
      <c r="Z98" s="528">
        <f>I98*$B$10-Y98</f>
        <v>10918.191609414993</v>
      </c>
      <c r="AA98" s="530">
        <f>Z98-J98</f>
        <v>442.79238676781279</v>
      </c>
      <c r="AB98" s="1091">
        <f t="shared" ref="AB98:AB130" si="40">AA98/Z98</f>
        <v>4.0555469496064103E-2</v>
      </c>
      <c r="AC98" s="135" t="str">
        <f t="shared" ref="AC98:AC130" si="41">IF(AND(AB98&gt;=0,AB98&lt;=1),"Yes","No")</f>
        <v>Yes</v>
      </c>
      <c r="AD98" s="1091">
        <f t="shared" ref="AD98:AD130" si="42">IF(AB98&lt;=0,0,IF(AB98&gt;=1,1,AB98))</f>
        <v>4.0555469496064103E-2</v>
      </c>
      <c r="AE98" s="649">
        <f t="shared" si="10"/>
        <v>2.3097279906837076E-2</v>
      </c>
      <c r="AF98" s="530">
        <f t="shared" ref="AF98:AF130" si="43">AK98/B98</f>
        <v>414.46380953618961</v>
      </c>
      <c r="AG98" s="528">
        <f t="shared" ref="AG98:AG130" si="44">J98</f>
        <v>10475.39922264718</v>
      </c>
      <c r="AH98" s="528">
        <f>IF(V98+I98*$C$10*$G$10&lt;AH97,AH97,V98+I98*$C$10*$G$10)</f>
        <v>6782.3256466462362</v>
      </c>
      <c r="AI98" s="528">
        <f>IF(($C$10*$H$10*$I$98+X98)&lt;AI97,AI97,($C$10*$H$10*$I$98+X98))</f>
        <v>3707.5237846120858</v>
      </c>
      <c r="AJ98" s="528">
        <f t="shared" si="11"/>
        <v>2839.8947106150845</v>
      </c>
      <c r="AK98" s="528">
        <f t="shared" ref="AK98:AK130" si="45">SUM(AG98:AJ98)</f>
        <v>23805.143364520587</v>
      </c>
      <c r="AL98" s="716">
        <f t="shared" si="12"/>
        <v>0</v>
      </c>
      <c r="AM98" s="417">
        <f t="shared" ref="AM98:AM130" si="46">AG98/AK98</f>
        <v>0.4400477267555471</v>
      </c>
      <c r="AN98" s="417">
        <f t="shared" ref="AN98:AN130" si="47">AH98/AK98</f>
        <v>0.28491009454514266</v>
      </c>
      <c r="AO98" s="417">
        <f t="shared" ref="AO98:AO130" si="48">AI98/AK98</f>
        <v>0.1557446526508979</v>
      </c>
      <c r="AP98" s="417">
        <f t="shared" ref="AP98:AP130" si="49">AJ98/AK98</f>
        <v>0.11929752604841232</v>
      </c>
      <c r="AQ98" s="417">
        <f t="shared" ref="AQ98:AQ130" si="50">SUM(AM98:AP98)</f>
        <v>1</v>
      </c>
      <c r="AR98" s="1086">
        <f t="shared" si="13"/>
        <v>2479.4262473821595</v>
      </c>
      <c r="AS98" s="938">
        <f t="shared" si="14"/>
        <v>3144.5832572625927</v>
      </c>
      <c r="AT98" s="938">
        <f t="shared" si="15"/>
        <v>621.75862988798849</v>
      </c>
      <c r="AU98" s="938">
        <f t="shared" si="16"/>
        <v>0</v>
      </c>
      <c r="AV98" s="938">
        <f t="shared" si="17"/>
        <v>0</v>
      </c>
      <c r="AW98" s="938">
        <f t="shared" si="18"/>
        <v>0</v>
      </c>
      <c r="AX98" s="938">
        <f t="shared" si="19"/>
        <v>2728.3772559900963</v>
      </c>
      <c r="AY98" s="938">
        <f t="shared" si="20"/>
        <v>381.0233111554337</v>
      </c>
      <c r="AZ98" s="938">
        <f t="shared" si="21"/>
        <v>533.99569662277338</v>
      </c>
      <c r="BA98" s="938">
        <f t="shared" si="22"/>
        <v>477.52087133314774</v>
      </c>
      <c r="BB98" s="938">
        <f t="shared" si="23"/>
        <v>108.71395301298466</v>
      </c>
      <c r="BC98" s="530">
        <f t="shared" ref="BC98:BC130" si="51">SUM(AR98:BB98)</f>
        <v>10475.399222647176</v>
      </c>
      <c r="BD98" s="724">
        <f t="shared" ref="BD98:BD130" si="52">BC98-AG98</f>
        <v>0</v>
      </c>
      <c r="BE98" s="436">
        <f t="shared" ref="BE98:BE130" si="53">AR98/BC98</f>
        <v>0.23669038236001458</v>
      </c>
      <c r="BF98" s="624">
        <f t="shared" ref="BF98:BF129" si="54">AS98/BC98</f>
        <v>0.30018743824714528</v>
      </c>
      <c r="BG98" s="624">
        <f t="shared" ref="BG98:BG130" si="55">AT98/BC98</f>
        <v>5.9354170344532942E-2</v>
      </c>
      <c r="BH98" s="624">
        <f t="shared" ref="BH98:BH130" si="56">AU98/BC98</f>
        <v>0</v>
      </c>
      <c r="BI98" s="624">
        <f t="shared" ref="BI98:BI130" si="57">AV98/BC98</f>
        <v>0</v>
      </c>
      <c r="BJ98" s="624">
        <f t="shared" ref="BJ98:BJ130" si="58">AW98/BC98</f>
        <v>0</v>
      </c>
      <c r="BK98" s="624">
        <f t="shared" ref="BK98:BK130" si="59">SUM(AX98:BB98)/BC98</f>
        <v>0.40376800904830723</v>
      </c>
      <c r="BL98" s="624">
        <f t="shared" ref="BL98:BL130" si="60">SUM(BE98:BK98)</f>
        <v>1</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108.7554268120047</v>
      </c>
      <c r="BW98" s="114">
        <f t="shared" ref="BW98:BW130" si="63">((AK98-AM98*AK98)+(AC138-AC138*AE138))/(AK98+AC138)</f>
        <v>0.31213800301919209</v>
      </c>
      <c r="BX98" s="1695">
        <f t="shared" si="24"/>
        <v>50.172070130067617</v>
      </c>
      <c r="BY98" s="527">
        <f t="shared" ref="BY98:BY130" si="64">(AK98+AC178)*1000/10^6</f>
        <v>108.7554268120047</v>
      </c>
      <c r="BZ98" s="417">
        <f t="shared" ref="BZ98:BZ130" si="65">((AK98-AM98*AK98)+(AC178-AC178*AE178))/(AK98+AC178)</f>
        <v>0.31213800301919209</v>
      </c>
      <c r="CA98" s="544">
        <f t="shared" si="25"/>
        <v>50.172070130067617</v>
      </c>
      <c r="CB98" s="649">
        <f t="shared" si="26"/>
        <v>2.3097279906837076E-2</v>
      </c>
      <c r="CC98" s="525">
        <f t="shared" ref="CC98:CC130" si="66">W178</f>
        <v>3.5313693110914368E-2</v>
      </c>
      <c r="CD98" s="417">
        <f t="shared" si="27"/>
        <v>2.3097279906837076E-2</v>
      </c>
      <c r="CE98" s="525">
        <f t="shared" ref="CE98:CE130" si="67">W178</f>
        <v>3.5313693110914368E-2</v>
      </c>
      <c r="CG98" s="527">
        <f t="shared" ref="CG98:CG130" si="68">$I98*$E$75*$L98</f>
        <v>1281.1694892133692</v>
      </c>
      <c r="CH98" s="528">
        <f t="shared" ref="CH98:CH130" si="69">$I98*$J$75*M98</f>
        <v>502.14827512795569</v>
      </c>
      <c r="CI98" s="528">
        <f t="shared" ref="CI98:CI130" si="70">$I98*$K$75*N98</f>
        <v>2060.3452229820969</v>
      </c>
      <c r="CJ98" s="528">
        <f t="shared" ref="CJ98:CJ130" si="71">$I98*$L$75*O98</f>
        <v>2899.7723362286424</v>
      </c>
      <c r="CK98" s="528">
        <f t="shared" ref="CK98:CK130" si="72">$I98*$M$75*P98</f>
        <v>38.890323094172203</v>
      </c>
      <c r="CL98" s="528">
        <f t="shared" ref="CL98:CL130" si="73">SUM(CG98:CK98)</f>
        <v>6782.3256466462362</v>
      </c>
      <c r="CM98" s="646">
        <f t="shared" ref="CM98:CM130" si="74">AH98-CL98</f>
        <v>0</v>
      </c>
    </row>
    <row r="99" spans="1:91">
      <c r="A99" s="127">
        <f>'Input data'!A119</f>
        <v>2019</v>
      </c>
      <c r="B99" s="662">
        <f>'Input data'!B119</f>
        <v>58.365000000000002</v>
      </c>
      <c r="C99" s="236">
        <f>'Input data'!C119</f>
        <v>3179.2899999999995</v>
      </c>
      <c r="D99" s="1552">
        <f>'Input data'!D119</f>
        <v>49847473.41597119</v>
      </c>
      <c r="E99" s="1457">
        <f t="shared" ref="E99:E109" si="75">($E$110-$E$97)/($A$110-$A$97)+E98</f>
        <v>0.75867692307692314</v>
      </c>
      <c r="F99" s="1451">
        <f t="shared" ref="F99:F109" si="76">($F$110-$F$97)/($A$110-$A$97)+F98</f>
        <v>0.30196923076923077</v>
      </c>
      <c r="G99" s="1556">
        <f>B99*F99*'Input data'!$C$9</f>
        <v>539.43215426439122</v>
      </c>
      <c r="H99" s="1544">
        <f>'Input data'!I119</f>
        <v>424.26313389388866</v>
      </c>
      <c r="I99" s="1511">
        <f>'Input data'!K119</f>
        <v>24762.117809716812</v>
      </c>
      <c r="J99" s="1511">
        <f>J97*0.89</f>
        <v>9918.1971363361608</v>
      </c>
      <c r="K99" s="1513">
        <f t="shared" ref="K99:K130" si="77">I99*$B$10-J99</f>
        <v>1589.21582411913</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40.790343501199459</v>
      </c>
      <c r="R99" s="1511">
        <f t="shared" si="34"/>
        <v>28.46476948069801</v>
      </c>
      <c r="S99" s="1511">
        <f t="shared" si="35"/>
        <v>83.356633121485629</v>
      </c>
      <c r="T99" s="1511">
        <f t="shared" si="36"/>
        <v>56.127138580410247</v>
      </c>
      <c r="U99" s="1513">
        <f t="shared" si="37"/>
        <v>0</v>
      </c>
      <c r="V99" s="1511">
        <f t="shared" si="38"/>
        <v>208.73888468379334</v>
      </c>
      <c r="W99" s="1456">
        <v>0.1</v>
      </c>
      <c r="X99" s="530">
        <f t="shared" si="39"/>
        <v>606.697651772634</v>
      </c>
      <c r="Y99" s="1510">
        <f t="shared" ref="Y99:Y130" si="78">X99+V99</f>
        <v>815.43653645642735</v>
      </c>
      <c r="Z99" s="1511">
        <f t="shared" ref="Z99:Z130" si="79">I99*$B$10-Y99</f>
        <v>10691.976423998864</v>
      </c>
      <c r="AA99" s="1513">
        <f t="shared" ref="AA99:AA130" si="80">Z99-J99</f>
        <v>773.7792876627027</v>
      </c>
      <c r="AB99" s="1091">
        <f t="shared" si="40"/>
        <v>7.2370089212496089E-2</v>
      </c>
      <c r="AC99" s="135" t="str">
        <f t="shared" si="41"/>
        <v>Yes</v>
      </c>
      <c r="AD99" s="1091">
        <f t="shared" si="42"/>
        <v>7.2370089212496089E-2</v>
      </c>
      <c r="AE99" s="649">
        <f t="shared" si="10"/>
        <v>4.2262775008130249E-2</v>
      </c>
      <c r="AF99" s="530">
        <f t="shared" si="43"/>
        <v>406.33259652188701</v>
      </c>
      <c r="AG99" s="528">
        <f t="shared" si="44"/>
        <v>9918.1971363361608</v>
      </c>
      <c r="AH99" s="528">
        <f t="shared" ref="AH99:AH130" si="81">IF(V99+I99*$C$10*$G$10&lt;AH98,AH98,V99+I99*$C$10*$G$10)</f>
        <v>6996.3959826042337</v>
      </c>
      <c r="AI99" s="528">
        <f t="shared" ref="AI99:AI130" si="82">IF(($C$10*$H$10*$I$98+X99)&lt;AI98,AI98,($C$10*$H$10*$I$98+X99))</f>
        <v>4010.8726104984025</v>
      </c>
      <c r="AJ99" s="528">
        <f t="shared" si="11"/>
        <v>2790.1362665611405</v>
      </c>
      <c r="AK99" s="528">
        <f t="shared" si="45"/>
        <v>23715.601995999936</v>
      </c>
      <c r="AL99" s="716">
        <f t="shared" si="12"/>
        <v>0</v>
      </c>
      <c r="AM99" s="417">
        <f t="shared" si="46"/>
        <v>0.41821401531401325</v>
      </c>
      <c r="AN99" s="417">
        <f t="shared" si="47"/>
        <v>0.29501237134036495</v>
      </c>
      <c r="AO99" s="417">
        <f t="shared" si="48"/>
        <v>0.16912379500950087</v>
      </c>
      <c r="AP99" s="417">
        <f t="shared" si="49"/>
        <v>0.11764981833612098</v>
      </c>
      <c r="AQ99" s="417">
        <f t="shared" si="50"/>
        <v>1</v>
      </c>
      <c r="AR99" s="1086">
        <f t="shared" si="13"/>
        <v>2313.9329536504479</v>
      </c>
      <c r="AS99" s="938">
        <f t="shared" si="14"/>
        <v>2934.6929888154295</v>
      </c>
      <c r="AT99" s="938">
        <f t="shared" si="15"/>
        <v>591.94548352934771</v>
      </c>
      <c r="AU99" s="938">
        <f t="shared" si="16"/>
        <v>0</v>
      </c>
      <c r="AV99" s="938">
        <f t="shared" si="17"/>
        <v>0</v>
      </c>
      <c r="AW99" s="938">
        <f t="shared" si="18"/>
        <v>0</v>
      </c>
      <c r="AX99" s="938">
        <f t="shared" si="19"/>
        <v>2680.5727347369716</v>
      </c>
      <c r="AY99" s="938">
        <f t="shared" si="20"/>
        <v>361.14492888149971</v>
      </c>
      <c r="AZ99" s="938">
        <f t="shared" si="21"/>
        <v>485.97738294751366</v>
      </c>
      <c r="BA99" s="938">
        <f t="shared" si="22"/>
        <v>443.12151277052453</v>
      </c>
      <c r="BB99" s="938">
        <f t="shared" si="23"/>
        <v>106.80915100442425</v>
      </c>
      <c r="BC99" s="530">
        <f t="shared" si="51"/>
        <v>9918.1971363361627</v>
      </c>
      <c r="BD99" s="724">
        <f t="shared" si="52"/>
        <v>0</v>
      </c>
      <c r="BE99" s="436">
        <f t="shared" si="53"/>
        <v>0.2333017706588183</v>
      </c>
      <c r="BF99" s="624">
        <f t="shared" si="54"/>
        <v>0.29588976186649196</v>
      </c>
      <c r="BG99" s="624">
        <f t="shared" si="55"/>
        <v>5.9682770506819721E-2</v>
      </c>
      <c r="BH99" s="624">
        <f t="shared" si="56"/>
        <v>0</v>
      </c>
      <c r="BI99" s="624">
        <f t="shared" si="57"/>
        <v>0</v>
      </c>
      <c r="BJ99" s="624">
        <f t="shared" si="58"/>
        <v>0</v>
      </c>
      <c r="BK99" s="624">
        <f t="shared" si="59"/>
        <v>0.4111256969678696</v>
      </c>
      <c r="BL99" s="624">
        <f t="shared" si="60"/>
        <v>0.99999999999999956</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106.72699670564646</v>
      </c>
      <c r="BW99" s="114">
        <f t="shared" si="63"/>
        <v>0.33634844273691999</v>
      </c>
      <c r="BX99" s="1695">
        <f t="shared" si="24"/>
        <v>49.847473415971187</v>
      </c>
      <c r="BY99" s="527">
        <f t="shared" si="64"/>
        <v>106.72699670564646</v>
      </c>
      <c r="BZ99" s="417">
        <f t="shared" si="65"/>
        <v>0.33634844273691999</v>
      </c>
      <c r="CA99" s="544">
        <f t="shared" si="25"/>
        <v>49.847473415971187</v>
      </c>
      <c r="CB99" s="649">
        <f t="shared" si="26"/>
        <v>4.2262775008130249E-2</v>
      </c>
      <c r="CC99" s="525">
        <f t="shared" si="66"/>
        <v>5.7337149546160315E-2</v>
      </c>
      <c r="CD99" s="417">
        <f t="shared" si="27"/>
        <v>4.2262775008130249E-2</v>
      </c>
      <c r="CE99" s="525">
        <f t="shared" si="67"/>
        <v>5.7337149546160315E-2</v>
      </c>
      <c r="CG99" s="527">
        <f t="shared" si="68"/>
        <v>1322.2869684972097</v>
      </c>
      <c r="CH99" s="528">
        <f t="shared" si="69"/>
        <v>524.5026695415736</v>
      </c>
      <c r="CI99" s="528">
        <f t="shared" si="70"/>
        <v>2135.3486442184849</v>
      </c>
      <c r="CJ99" s="528">
        <f t="shared" si="71"/>
        <v>2974.7383447617685</v>
      </c>
      <c r="CK99" s="528">
        <f t="shared" si="72"/>
        <v>39.519355585196749</v>
      </c>
      <c r="CL99" s="528">
        <f t="shared" si="73"/>
        <v>6996.3959826042337</v>
      </c>
      <c r="CM99" s="646">
        <f t="shared" si="74"/>
        <v>0</v>
      </c>
    </row>
    <row r="100" spans="1:91">
      <c r="A100" s="127">
        <f>'Input data'!A120</f>
        <v>2020</v>
      </c>
      <c r="B100" s="662">
        <f>'Input data'!B120</f>
        <v>59.308999999999997</v>
      </c>
      <c r="C100" s="236">
        <f>'Input data'!C120</f>
        <v>2948.9199999999987</v>
      </c>
      <c r="D100" s="1552">
        <f>'Input data'!D120</f>
        <v>47586944.933914557</v>
      </c>
      <c r="E100" s="1457">
        <f t="shared" si="75"/>
        <v>0.78061538461538471</v>
      </c>
      <c r="F100" s="1451">
        <f t="shared" si="76"/>
        <v>0.30815384615384617</v>
      </c>
      <c r="G100" s="1556">
        <f>B100*F100*'Input data'!$C$9</f>
        <v>559.38374453121867</v>
      </c>
      <c r="H100" s="1544">
        <f>'Input data'!I120</f>
        <v>424.26313389388866</v>
      </c>
      <c r="I100" s="1511">
        <f>'Input data'!K120</f>
        <v>25162.622208112643</v>
      </c>
      <c r="J100" s="1511">
        <f>J97*0.81</f>
        <v>9026.6737982385275</v>
      </c>
      <c r="K100" s="1513">
        <f t="shared" si="77"/>
        <v>2666.8609447006111</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62.175134482463136</v>
      </c>
      <c r="R100" s="1511">
        <f t="shared" si="34"/>
        <v>43.387741278096087</v>
      </c>
      <c r="S100" s="1511">
        <f t="shared" si="35"/>
        <v>127.05727457728563</v>
      </c>
      <c r="T100" s="1511">
        <f t="shared" si="36"/>
        <v>85.552414856478208</v>
      </c>
      <c r="U100" s="1513">
        <f t="shared" si="37"/>
        <v>0</v>
      </c>
      <c r="V100" s="1511">
        <f t="shared" si="38"/>
        <v>318.17256519432306</v>
      </c>
      <c r="W100" s="1456">
        <f>($N$142-$N$137)/($A$102-$A$97)+W99</f>
        <v>0.2</v>
      </c>
      <c r="X100" s="530">
        <f t="shared" si="39"/>
        <v>1213.395303545268</v>
      </c>
      <c r="Y100" s="1510">
        <f t="shared" si="78"/>
        <v>1531.5678687395912</v>
      </c>
      <c r="Z100" s="1511">
        <f t="shared" si="79"/>
        <v>10161.966874199548</v>
      </c>
      <c r="AA100" s="1513">
        <f t="shared" si="80"/>
        <v>1135.2930759610208</v>
      </c>
      <c r="AB100" s="1091">
        <f t="shared" si="40"/>
        <v>0.11171981664725188</v>
      </c>
      <c r="AC100" s="135" t="str">
        <f t="shared" si="41"/>
        <v>Yes</v>
      </c>
      <c r="AD100" s="1091">
        <f t="shared" si="42"/>
        <v>0.11171981664725188</v>
      </c>
      <c r="AE100" s="649">
        <f t="shared" si="10"/>
        <v>6.3100384537620458E-2</v>
      </c>
      <c r="AF100" s="530">
        <f t="shared" si="43"/>
        <v>397.49196700004836</v>
      </c>
      <c r="AG100" s="528">
        <f t="shared" si="44"/>
        <v>9026.6737982385275</v>
      </c>
      <c r="AH100" s="528">
        <f t="shared" si="81"/>
        <v>7215.6137511887273</v>
      </c>
      <c r="AI100" s="528">
        <f t="shared" si="82"/>
        <v>4617.5702622710369</v>
      </c>
      <c r="AJ100" s="528">
        <f t="shared" si="11"/>
        <v>2714.9932591075731</v>
      </c>
      <c r="AK100" s="528">
        <f t="shared" si="45"/>
        <v>23574.851070805867</v>
      </c>
      <c r="AL100" s="716">
        <f t="shared" si="12"/>
        <v>0</v>
      </c>
      <c r="AM100" s="417">
        <f t="shared" si="46"/>
        <v>0.3828942024332358</v>
      </c>
      <c r="AN100" s="417">
        <f t="shared" si="47"/>
        <v>0.30607250622780174</v>
      </c>
      <c r="AO100" s="417">
        <f t="shared" si="48"/>
        <v>0.19586848071287488</v>
      </c>
      <c r="AP100" s="417">
        <f t="shared" si="49"/>
        <v>0.11516481062608747</v>
      </c>
      <c r="AQ100" s="417">
        <f t="shared" si="50"/>
        <v>1</v>
      </c>
      <c r="AR100" s="1086">
        <f t="shared" si="13"/>
        <v>2017.8680802834513</v>
      </c>
      <c r="AS100" s="938">
        <f t="shared" si="14"/>
        <v>2559.2026329976679</v>
      </c>
      <c r="AT100" s="938">
        <f t="shared" si="15"/>
        <v>557.59376110027858</v>
      </c>
      <c r="AU100" s="938">
        <f t="shared" si="16"/>
        <v>0</v>
      </c>
      <c r="AV100" s="938">
        <f t="shared" si="17"/>
        <v>0</v>
      </c>
      <c r="AW100" s="938">
        <f t="shared" si="18"/>
        <v>0</v>
      </c>
      <c r="AX100" s="938">
        <f t="shared" si="19"/>
        <v>2608.3804553131322</v>
      </c>
      <c r="AY100" s="938">
        <f t="shared" si="20"/>
        <v>338.57187205507319</v>
      </c>
      <c r="AZ100" s="938">
        <f t="shared" si="21"/>
        <v>435.26838450853552</v>
      </c>
      <c r="BA100" s="938">
        <f t="shared" si="22"/>
        <v>405.85600895185235</v>
      </c>
      <c r="BB100" s="938">
        <f t="shared" si="23"/>
        <v>103.93260302853392</v>
      </c>
      <c r="BC100" s="530">
        <f t="shared" si="51"/>
        <v>9026.6737982385239</v>
      </c>
      <c r="BD100" s="724">
        <f t="shared" si="52"/>
        <v>0</v>
      </c>
      <c r="BE100" s="436">
        <f t="shared" si="53"/>
        <v>0.22354503169010279</v>
      </c>
      <c r="BF100" s="624">
        <f t="shared" si="54"/>
        <v>0.28351557729903498</v>
      </c>
      <c r="BG100" s="624">
        <f t="shared" si="55"/>
        <v>6.1771785882978082E-2</v>
      </c>
      <c r="BH100" s="624">
        <f t="shared" si="56"/>
        <v>0</v>
      </c>
      <c r="BI100" s="624">
        <f t="shared" si="57"/>
        <v>0</v>
      </c>
      <c r="BJ100" s="624">
        <f t="shared" si="58"/>
        <v>0</v>
      </c>
      <c r="BK100" s="624">
        <f t="shared" si="59"/>
        <v>0.43116760512788427</v>
      </c>
      <c r="BL100" s="624">
        <f t="shared" si="60"/>
        <v>1</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101.06344703165011</v>
      </c>
      <c r="BW100" s="114">
        <f t="shared" si="63"/>
        <v>0.36215477056092171</v>
      </c>
      <c r="BX100" s="1695">
        <f t="shared" si="24"/>
        <v>47.586944933914559</v>
      </c>
      <c r="BY100" s="527">
        <f t="shared" si="64"/>
        <v>101.06344703165011</v>
      </c>
      <c r="BZ100" s="417">
        <f t="shared" si="65"/>
        <v>0.36215477056092171</v>
      </c>
      <c r="CA100" s="544">
        <f t="shared" si="25"/>
        <v>47.586944933914559</v>
      </c>
      <c r="CB100" s="649">
        <f t="shared" si="26"/>
        <v>6.3100384537620458E-2</v>
      </c>
      <c r="CC100" s="525">
        <f t="shared" si="66"/>
        <v>6.6752191460547228E-2</v>
      </c>
      <c r="CD100" s="417">
        <f t="shared" si="27"/>
        <v>6.3100384537620458E-2</v>
      </c>
      <c r="CE100" s="525">
        <f t="shared" si="67"/>
        <v>6.6752191460547228E-2</v>
      </c>
      <c r="CG100" s="527">
        <f t="shared" si="68"/>
        <v>1364.3987844762671</v>
      </c>
      <c r="CH100" s="528">
        <f t="shared" si="69"/>
        <v>547.44859649458658</v>
      </c>
      <c r="CI100" s="528">
        <f t="shared" si="70"/>
        <v>2212.2383623208293</v>
      </c>
      <c r="CJ100" s="528">
        <f t="shared" si="71"/>
        <v>3051.3694632144015</v>
      </c>
      <c r="CK100" s="528">
        <f t="shared" si="72"/>
        <v>40.158544682642571</v>
      </c>
      <c r="CL100" s="528">
        <f t="shared" si="73"/>
        <v>7215.6137511887273</v>
      </c>
      <c r="CM100" s="646">
        <f t="shared" si="74"/>
        <v>0</v>
      </c>
    </row>
    <row r="101" spans="1:91">
      <c r="A101" s="873">
        <f>'Input data'!A121</f>
        <v>2021</v>
      </c>
      <c r="B101" s="1553">
        <f>'Input data'!B121</f>
        <v>59.991999999999997</v>
      </c>
      <c r="C101" s="1552">
        <f>'Input data'!C121</f>
        <v>3014.38</v>
      </c>
      <c r="D101" s="1552">
        <f>'Input data'!D121</f>
        <v>47328556.831579238</v>
      </c>
      <c r="E101" s="1457">
        <f t="shared" si="75"/>
        <v>0.80255384615384628</v>
      </c>
      <c r="F101" s="1451">
        <f t="shared" si="76"/>
        <v>0.31433846153846157</v>
      </c>
      <c r="G101" s="1556">
        <f>B101*F101*'Input data'!$C$9</f>
        <v>577.18164484407419</v>
      </c>
      <c r="H101" s="1544">
        <f>'Input data'!I121</f>
        <v>424.26313389388866</v>
      </c>
      <c r="I101" s="1511">
        <f>'Input data'!K121</f>
        <v>25452.393928562167</v>
      </c>
      <c r="J101" s="1511">
        <f>J97*0.65</f>
        <v>7243.6271220432636</v>
      </c>
      <c r="K101" s="1513">
        <f t="shared" si="77"/>
        <v>4584.569885129421</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83.854854358740795</v>
      </c>
      <c r="R101" s="1511">
        <f t="shared" si="34"/>
        <v>58.516523624981971</v>
      </c>
      <c r="S101" s="1511">
        <f t="shared" si="35"/>
        <v>171.36061455407025</v>
      </c>
      <c r="T101" s="1511">
        <f t="shared" si="36"/>
        <v>115.3835105873718</v>
      </c>
      <c r="U101" s="1513">
        <f t="shared" si="37"/>
        <v>0</v>
      </c>
      <c r="V101" s="1511">
        <f t="shared" si="38"/>
        <v>429.11550312516482</v>
      </c>
      <c r="W101" s="1456">
        <v>0.4</v>
      </c>
      <c r="X101" s="530">
        <f t="shared" si="39"/>
        <v>2426.790607090536</v>
      </c>
      <c r="Y101" s="1510">
        <f t="shared" si="78"/>
        <v>2855.9061102157007</v>
      </c>
      <c r="Z101" s="1511">
        <f t="shared" si="79"/>
        <v>8972.2908969569835</v>
      </c>
      <c r="AA101" s="1513">
        <f t="shared" si="80"/>
        <v>1728.6637749137199</v>
      </c>
      <c r="AB101" s="1091">
        <f t="shared" si="40"/>
        <v>0.19266693364790574</v>
      </c>
      <c r="AC101" s="135" t="str">
        <f t="shared" si="41"/>
        <v>Yes</v>
      </c>
      <c r="AD101" s="1091">
        <f t="shared" si="42"/>
        <v>0.19266693364790574</v>
      </c>
      <c r="AE101" s="649">
        <f t="shared" si="10"/>
        <v>9.7272411607128184E-2</v>
      </c>
      <c r="AF101" s="530">
        <f t="shared" si="43"/>
        <v>382.99403570403217</v>
      </c>
      <c r="AG101" s="528">
        <f t="shared" si="44"/>
        <v>7243.6271220432636</v>
      </c>
      <c r="AH101" s="528">
        <f t="shared" si="81"/>
        <v>7405.9873375883362</v>
      </c>
      <c r="AI101" s="528">
        <f t="shared" si="82"/>
        <v>5830.9655658163047</v>
      </c>
      <c r="AJ101" s="528">
        <f t="shared" si="11"/>
        <v>2495.998164508394</v>
      </c>
      <c r="AK101" s="528">
        <f t="shared" si="45"/>
        <v>22976.578189956297</v>
      </c>
      <c r="AL101" s="716">
        <f t="shared" si="12"/>
        <v>0</v>
      </c>
      <c r="AM101" s="417">
        <f t="shared" si="46"/>
        <v>0.31526135276355705</v>
      </c>
      <c r="AN101" s="417">
        <f t="shared" si="47"/>
        <v>0.32232768849913862</v>
      </c>
      <c r="AO101" s="417">
        <f t="shared" si="48"/>
        <v>0.25377867485791172</v>
      </c>
      <c r="AP101" s="417">
        <f t="shared" si="49"/>
        <v>0.10863228387939264</v>
      </c>
      <c r="AQ101" s="417">
        <f t="shared" si="50"/>
        <v>1</v>
      </c>
      <c r="AR101" s="1086">
        <f t="shared" si="13"/>
        <v>1428.2004197022736</v>
      </c>
      <c r="AS101" s="938">
        <f t="shared" si="14"/>
        <v>1811.3445126883635</v>
      </c>
      <c r="AT101" s="938">
        <f t="shared" si="15"/>
        <v>495.69278139528046</v>
      </c>
      <c r="AU101" s="938">
        <f t="shared" si="16"/>
        <v>0</v>
      </c>
      <c r="AV101" s="938">
        <f t="shared" si="17"/>
        <v>0</v>
      </c>
      <c r="AW101" s="938">
        <f t="shared" si="18"/>
        <v>0</v>
      </c>
      <c r="AX101" s="938">
        <f t="shared" si="19"/>
        <v>2397.9848962649626</v>
      </c>
      <c r="AY101" s="938">
        <f t="shared" si="20"/>
        <v>299.45161755724035</v>
      </c>
      <c r="AZ101" s="938">
        <f t="shared" si="21"/>
        <v>365.57276468578976</v>
      </c>
      <c r="BA101" s="938">
        <f t="shared" si="22"/>
        <v>349.83087358763601</v>
      </c>
      <c r="BB101" s="938">
        <f t="shared" si="23"/>
        <v>95.549256161715476</v>
      </c>
      <c r="BC101" s="530">
        <f t="shared" si="51"/>
        <v>7243.6271220432618</v>
      </c>
      <c r="BD101" s="724">
        <f t="shared" si="52"/>
        <v>0</v>
      </c>
      <c r="BE101" s="436">
        <f t="shared" si="53"/>
        <v>0.19716647414885305</v>
      </c>
      <c r="BF101" s="624">
        <f t="shared" si="54"/>
        <v>0.25006042997108674</v>
      </c>
      <c r="BG101" s="624">
        <f t="shared" si="55"/>
        <v>6.8431570681879175E-2</v>
      </c>
      <c r="BH101" s="624">
        <f t="shared" si="56"/>
        <v>0</v>
      </c>
      <c r="BI101" s="624">
        <f t="shared" si="57"/>
        <v>0</v>
      </c>
      <c r="BJ101" s="624">
        <f t="shared" si="58"/>
        <v>0</v>
      </c>
      <c r="BK101" s="624">
        <f t="shared" si="59"/>
        <v>0.48434152519818108</v>
      </c>
      <c r="BL101" s="624">
        <f t="shared" si="60"/>
        <v>1</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91.347015592912086</v>
      </c>
      <c r="BW101" s="114">
        <f t="shared" si="63"/>
        <v>0.43370413130380214</v>
      </c>
      <c r="BX101" s="1695">
        <f t="shared" si="24"/>
        <v>47.328556831579235</v>
      </c>
      <c r="BY101" s="527">
        <f t="shared" si="64"/>
        <v>91.347015592912086</v>
      </c>
      <c r="BZ101" s="417">
        <f t="shared" si="65"/>
        <v>0.43370413130380214</v>
      </c>
      <c r="CA101" s="544">
        <f t="shared" si="25"/>
        <v>47.328556831579235</v>
      </c>
      <c r="CB101" s="649">
        <f t="shared" si="26"/>
        <v>9.7272411607128184E-2</v>
      </c>
      <c r="CC101" s="525">
        <f t="shared" si="66"/>
        <v>0.18177545134573359</v>
      </c>
      <c r="CD101" s="417">
        <f t="shared" si="27"/>
        <v>9.7272411607128184E-2</v>
      </c>
      <c r="CE101" s="525">
        <f t="shared" si="67"/>
        <v>0.18177545134573359</v>
      </c>
      <c r="CG101" s="527">
        <f t="shared" si="68"/>
        <v>1401.0748582439571</v>
      </c>
      <c r="CH101" s="528">
        <f t="shared" si="69"/>
        <v>568.38212287885062</v>
      </c>
      <c r="CI101" s="528">
        <f t="shared" si="70"/>
        <v>2280.5545617781117</v>
      </c>
      <c r="CJ101" s="528">
        <f t="shared" si="71"/>
        <v>3115.3547858590596</v>
      </c>
      <c r="CK101" s="528">
        <f t="shared" si="72"/>
        <v>40.621008828358143</v>
      </c>
      <c r="CL101" s="528">
        <f t="shared" si="73"/>
        <v>7405.9873375883371</v>
      </c>
      <c r="CM101" s="646">
        <f t="shared" si="74"/>
        <v>0</v>
      </c>
    </row>
    <row r="102" spans="1:91" s="464" customFormat="1">
      <c r="A102" s="150">
        <f>'Input data'!A122</f>
        <v>2022</v>
      </c>
      <c r="B102" s="1508">
        <f>'Input data'!B122</f>
        <v>60.682000000000002</v>
      </c>
      <c r="C102" s="1509">
        <f>'Input data'!C122</f>
        <v>3077.2</v>
      </c>
      <c r="D102" s="1509">
        <f>'Input data'!D122</f>
        <v>45903210.392984279</v>
      </c>
      <c r="E102" s="1457">
        <f t="shared" si="75"/>
        <v>0.82449230769230786</v>
      </c>
      <c r="F102" s="1451">
        <f t="shared" si="76"/>
        <v>0.32052307692307697</v>
      </c>
      <c r="G102" s="1556">
        <f>B102*F102*'Input data'!$C$9</f>
        <v>595.30679115833243</v>
      </c>
      <c r="H102" s="1551">
        <f>'Input data'!I122</f>
        <v>424.26313389388866</v>
      </c>
      <c r="I102" s="1559">
        <f>'Input data'!K122</f>
        <v>25745.135490948953</v>
      </c>
      <c r="J102" s="1559">
        <f>J97*(1-$G$4)</f>
        <v>5572.0208631102023</v>
      </c>
      <c r="K102" s="1513">
        <f t="shared" si="77"/>
        <v>6392.218548632246</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106.02414222306948</v>
      </c>
      <c r="R102" s="1511">
        <f t="shared" si="34"/>
        <v>73.986941729963064</v>
      </c>
      <c r="S102" s="1511">
        <f t="shared" si="35"/>
        <v>216.66440551177857</v>
      </c>
      <c r="T102" s="1511">
        <f t="shared" si="36"/>
        <v>145.88824738012818</v>
      </c>
      <c r="U102" s="1513">
        <f t="shared" si="37"/>
        <v>0</v>
      </c>
      <c r="V102" s="1511">
        <f t="shared" si="38"/>
        <v>542.56373684493929</v>
      </c>
      <c r="W102" s="1456">
        <f>$E$26</f>
        <v>0.5</v>
      </c>
      <c r="X102" s="530">
        <f t="shared" si="39"/>
        <v>3033.4882588631699</v>
      </c>
      <c r="Y102" s="1510">
        <f t="shared" si="78"/>
        <v>3576.0519957081092</v>
      </c>
      <c r="Z102" s="1511">
        <f t="shared" si="79"/>
        <v>8388.1874160343395</v>
      </c>
      <c r="AA102" s="1513">
        <f t="shared" si="80"/>
        <v>2816.1665529241372</v>
      </c>
      <c r="AB102" s="1091">
        <f t="shared" si="40"/>
        <v>0.33573004670126083</v>
      </c>
      <c r="AC102" s="135" t="str">
        <f t="shared" si="41"/>
        <v>Yes</v>
      </c>
      <c r="AD102" s="1091">
        <f t="shared" si="42"/>
        <v>0.33573004670126083</v>
      </c>
      <c r="AE102" s="649">
        <f t="shared" si="10"/>
        <v>0.15763966722713285</v>
      </c>
      <c r="AF102" s="530">
        <f t="shared" si="43"/>
        <v>357.38243465011556</v>
      </c>
      <c r="AG102" s="528">
        <f t="shared" si="44"/>
        <v>5572.0208631102023</v>
      </c>
      <c r="AH102" s="528">
        <f t="shared" si="81"/>
        <v>7599.6802967011572</v>
      </c>
      <c r="AI102" s="528">
        <f t="shared" si="82"/>
        <v>6437.663217588939</v>
      </c>
      <c r="AJ102" s="528">
        <f t="shared" si="11"/>
        <v>2077.3165220380142</v>
      </c>
      <c r="AK102" s="528">
        <f t="shared" si="45"/>
        <v>21686.680899438314</v>
      </c>
      <c r="AL102" s="716">
        <f t="shared" si="12"/>
        <v>0</v>
      </c>
      <c r="AM102" s="417">
        <f t="shared" si="46"/>
        <v>0.25693285611328925</v>
      </c>
      <c r="AN102" s="417">
        <f t="shared" si="47"/>
        <v>0.35043077047802135</v>
      </c>
      <c r="AO102" s="417">
        <f t="shared" si="48"/>
        <v>0.29684870854330109</v>
      </c>
      <c r="AP102" s="417">
        <f t="shared" si="49"/>
        <v>9.578766486538827E-2</v>
      </c>
      <c r="AQ102" s="417">
        <f t="shared" si="50"/>
        <v>0.99999999999999989</v>
      </c>
      <c r="AR102" s="1086">
        <f t="shared" si="13"/>
        <v>1019.1332158387886</v>
      </c>
      <c r="AS102" s="938">
        <f t="shared" si="14"/>
        <v>1292.5366305331697</v>
      </c>
      <c r="AT102" s="938">
        <f t="shared" si="15"/>
        <v>398.45896586129595</v>
      </c>
      <c r="AU102" s="938">
        <f t="shared" si="16"/>
        <v>0</v>
      </c>
      <c r="AV102" s="938">
        <f t="shared" si="17"/>
        <v>0</v>
      </c>
      <c r="AW102" s="938">
        <f t="shared" si="18"/>
        <v>0</v>
      </c>
      <c r="AX102" s="938">
        <f t="shared" si="19"/>
        <v>1995.7441136940665</v>
      </c>
      <c r="AY102" s="938">
        <f t="shared" si="20"/>
        <v>239.39179359944177</v>
      </c>
      <c r="AZ102" s="938">
        <f t="shared" si="21"/>
        <v>275.46643197018511</v>
      </c>
      <c r="BA102" s="938">
        <f t="shared" si="22"/>
        <v>271.76799909137372</v>
      </c>
      <c r="BB102" s="938">
        <f t="shared" si="23"/>
        <v>79.521712521878968</v>
      </c>
      <c r="BC102" s="530">
        <f t="shared" si="51"/>
        <v>5572.0208631101996</v>
      </c>
      <c r="BD102" s="724">
        <f t="shared" si="52"/>
        <v>0</v>
      </c>
      <c r="BE102" s="436">
        <f t="shared" si="53"/>
        <v>0.18290190235754558</v>
      </c>
      <c r="BF102" s="624">
        <f t="shared" si="54"/>
        <v>0.23196909385075409</v>
      </c>
      <c r="BG102" s="624">
        <f t="shared" si="55"/>
        <v>7.151067371253228E-2</v>
      </c>
      <c r="BH102" s="624">
        <f t="shared" si="56"/>
        <v>0</v>
      </c>
      <c r="BI102" s="624">
        <f t="shared" si="57"/>
        <v>0</v>
      </c>
      <c r="BJ102" s="624">
        <f t="shared" si="58"/>
        <v>0</v>
      </c>
      <c r="BK102" s="624">
        <f t="shared" si="59"/>
        <v>0.51361833007916824</v>
      </c>
      <c r="BL102" s="624">
        <f t="shared" si="60"/>
        <v>1.0000000000000002</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84.104979827855686</v>
      </c>
      <c r="BW102" s="114">
        <f t="shared" si="63"/>
        <v>0.49260328595635877</v>
      </c>
      <c r="BX102" s="1695">
        <f t="shared" si="24"/>
        <v>45.903210392984278</v>
      </c>
      <c r="BY102" s="527">
        <f t="shared" si="64"/>
        <v>84.104979827855686</v>
      </c>
      <c r="BZ102" s="417">
        <f t="shared" si="65"/>
        <v>0.49260328595635877</v>
      </c>
      <c r="CA102" s="544">
        <f t="shared" si="25"/>
        <v>45.903210392984278</v>
      </c>
      <c r="CB102" s="649">
        <f t="shared" si="26"/>
        <v>0.15763966722713285</v>
      </c>
      <c r="CC102" s="525">
        <f t="shared" si="66"/>
        <v>0.24696717837396054</v>
      </c>
      <c r="CD102" s="417">
        <f t="shared" si="27"/>
        <v>0.15763966722713285</v>
      </c>
      <c r="CE102" s="525">
        <f t="shared" si="67"/>
        <v>0.24696717837396054</v>
      </c>
      <c r="CF102" s="1"/>
      <c r="CG102" s="527">
        <f t="shared" si="68"/>
        <v>1438.3941961596395</v>
      </c>
      <c r="CH102" s="528">
        <f t="shared" si="69"/>
        <v>589.7167772734233</v>
      </c>
      <c r="CI102" s="528">
        <f t="shared" si="70"/>
        <v>2350.1173176575526</v>
      </c>
      <c r="CJ102" s="528">
        <f t="shared" si="71"/>
        <v>3180.3637928868047</v>
      </c>
      <c r="CK102" s="528">
        <f t="shared" si="72"/>
        <v>41.08821272373698</v>
      </c>
      <c r="CL102" s="528">
        <f t="shared" si="73"/>
        <v>7599.6802967011572</v>
      </c>
      <c r="CM102" s="646">
        <f t="shared" si="74"/>
        <v>0</v>
      </c>
    </row>
    <row r="103" spans="1:91" s="4" customFormat="1">
      <c r="A103" s="150">
        <f>'Input data'!A123</f>
        <v>2023</v>
      </c>
      <c r="B103" s="1508">
        <f>'Input data'!B123</f>
        <v>61.381</v>
      </c>
      <c r="C103" s="1509">
        <f>'Input data'!C123</f>
        <v>3140.61</v>
      </c>
      <c r="D103" s="1509">
        <f>'Input data'!D123</f>
        <v>44745286.877069645</v>
      </c>
      <c r="E103" s="1457">
        <f t="shared" si="75"/>
        <v>0.84643076923076943</v>
      </c>
      <c r="F103" s="1451">
        <f t="shared" si="76"/>
        <v>0.32670769230769237</v>
      </c>
      <c r="G103" s="1556">
        <f>B103*F103*'Input data'!$C$9</f>
        <v>613.78315775045917</v>
      </c>
      <c r="H103" s="1551">
        <f>'Input data'!I123</f>
        <v>424.26313389388866</v>
      </c>
      <c r="I103" s="1559">
        <f>'Input data'!K123</f>
        <v>26041.695421540779</v>
      </c>
      <c r="J103" s="1559">
        <f>($J$107-$J$102)/($A$107-$A$102)+J102</f>
        <v>5237.69961132359</v>
      </c>
      <c r="K103" s="1513">
        <f t="shared" si="77"/>
        <v>6864.3566711351805</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128.69452965546748</v>
      </c>
      <c r="R103" s="1511">
        <f t="shared" si="34"/>
        <v>89.807042687983767</v>
      </c>
      <c r="S103" s="1511">
        <f t="shared" si="35"/>
        <v>262.99221267694111</v>
      </c>
      <c r="T103" s="1511">
        <f t="shared" si="36"/>
        <v>177.08249258309843</v>
      </c>
      <c r="U103" s="1513">
        <f t="shared" si="37"/>
        <v>0</v>
      </c>
      <c r="V103" s="1511">
        <f t="shared" si="38"/>
        <v>658.57627760349078</v>
      </c>
      <c r="W103" s="1456">
        <f>($N$147-$N$142)/($A$107-$A$102)+W102</f>
        <v>0.5</v>
      </c>
      <c r="X103" s="530">
        <f t="shared" si="39"/>
        <v>3033.4882588631699</v>
      </c>
      <c r="Y103" s="1510">
        <f t="shared" si="78"/>
        <v>3692.0645364666607</v>
      </c>
      <c r="Z103" s="1511">
        <f t="shared" si="79"/>
        <v>8409.9917459921089</v>
      </c>
      <c r="AA103" s="1513">
        <f t="shared" si="80"/>
        <v>3172.2921346685189</v>
      </c>
      <c r="AB103" s="1091">
        <f t="shared" si="40"/>
        <v>0.37720514246405962</v>
      </c>
      <c r="AC103" s="135" t="str">
        <f t="shared" si="41"/>
        <v>Yes</v>
      </c>
      <c r="AD103" s="1091">
        <f t="shared" si="42"/>
        <v>0.37720514246405962</v>
      </c>
      <c r="AE103" s="649">
        <f t="shared" si="10"/>
        <v>0.17661287778653034</v>
      </c>
      <c r="AF103" s="530">
        <f t="shared" si="43"/>
        <v>349.33280087815695</v>
      </c>
      <c r="AG103" s="528">
        <f t="shared" si="44"/>
        <v>5237.69961132359</v>
      </c>
      <c r="AH103" s="528">
        <f t="shared" si="81"/>
        <v>7796.9842331839682</v>
      </c>
      <c r="AI103" s="528">
        <f t="shared" si="82"/>
        <v>6437.663217588939</v>
      </c>
      <c r="AJ103" s="528">
        <f t="shared" si="11"/>
        <v>1970.0495886056535</v>
      </c>
      <c r="AK103" s="528">
        <f t="shared" si="45"/>
        <v>21442.396650702151</v>
      </c>
      <c r="AL103" s="716">
        <f t="shared" si="12"/>
        <v>0</v>
      </c>
      <c r="AM103" s="417">
        <f t="shared" si="46"/>
        <v>0.24426838550960567</v>
      </c>
      <c r="AN103" s="417">
        <f t="shared" si="47"/>
        <v>0.36362466193482385</v>
      </c>
      <c r="AO103" s="417">
        <f t="shared" si="48"/>
        <v>0.30023058161169369</v>
      </c>
      <c r="AP103" s="417">
        <f t="shared" si="49"/>
        <v>9.1876370943876864E-2</v>
      </c>
      <c r="AQ103" s="417">
        <f t="shared" si="50"/>
        <v>1</v>
      </c>
      <c r="AR103" s="1086">
        <f t="shared" si="13"/>
        <v>976.10219119864871</v>
      </c>
      <c r="AS103" s="938">
        <f t="shared" si="14"/>
        <v>1237.9616498217631</v>
      </c>
      <c r="AT103" s="938">
        <f t="shared" si="15"/>
        <v>364.52525474906332</v>
      </c>
      <c r="AU103" s="938">
        <f t="shared" si="16"/>
        <v>0</v>
      </c>
      <c r="AV103" s="938">
        <f t="shared" si="17"/>
        <v>0</v>
      </c>
      <c r="AW103" s="938">
        <f t="shared" si="18"/>
        <v>0</v>
      </c>
      <c r="AX103" s="938">
        <f t="shared" si="19"/>
        <v>1892.689355923392</v>
      </c>
      <c r="AY103" s="938">
        <f t="shared" si="20"/>
        <v>217.70836324264766</v>
      </c>
      <c r="AZ103" s="938">
        <f t="shared" si="21"/>
        <v>233.94373391925001</v>
      </c>
      <c r="BA103" s="938">
        <f t="shared" si="22"/>
        <v>239.35363329520541</v>
      </c>
      <c r="BB103" s="938">
        <f t="shared" si="23"/>
        <v>75.415429173618193</v>
      </c>
      <c r="BC103" s="530">
        <f t="shared" si="51"/>
        <v>5237.6996113235882</v>
      </c>
      <c r="BD103" s="724">
        <f t="shared" si="52"/>
        <v>0</v>
      </c>
      <c r="BE103" s="436">
        <f t="shared" si="53"/>
        <v>0.18636085755822557</v>
      </c>
      <c r="BF103" s="624">
        <f t="shared" si="54"/>
        <v>0.23635598481924494</v>
      </c>
      <c r="BG103" s="624">
        <f t="shared" si="55"/>
        <v>6.9596441529594766E-2</v>
      </c>
      <c r="BH103" s="624">
        <f t="shared" si="56"/>
        <v>0</v>
      </c>
      <c r="BI103" s="624">
        <f t="shared" si="57"/>
        <v>0</v>
      </c>
      <c r="BJ103" s="624">
        <f t="shared" si="58"/>
        <v>0</v>
      </c>
      <c r="BK103" s="624">
        <f t="shared" si="59"/>
        <v>0.5076867160929347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83.027594209006878</v>
      </c>
      <c r="BW103" s="114">
        <f t="shared" si="63"/>
        <v>0.51534895181328266</v>
      </c>
      <c r="BX103" s="1695">
        <f t="shared" si="24"/>
        <v>44.745286877069645</v>
      </c>
      <c r="BY103" s="527">
        <f t="shared" si="64"/>
        <v>83.027594209006878</v>
      </c>
      <c r="BZ103" s="417">
        <f t="shared" si="65"/>
        <v>0.51534895181328266</v>
      </c>
      <c r="CA103" s="544">
        <f t="shared" si="25"/>
        <v>44.745286877069645</v>
      </c>
      <c r="CB103" s="649">
        <f t="shared" si="26"/>
        <v>0.17661287778653034</v>
      </c>
      <c r="CC103" s="525">
        <f t="shared" si="66"/>
        <v>0.25345338612614121</v>
      </c>
      <c r="CD103" s="417">
        <f t="shared" si="27"/>
        <v>0.17661287778653034</v>
      </c>
      <c r="CE103" s="525">
        <f t="shared" si="67"/>
        <v>0.25345338612614121</v>
      </c>
      <c r="CF103"/>
      <c r="CG103" s="527">
        <f t="shared" si="68"/>
        <v>1476.4122429918868</v>
      </c>
      <c r="CH103" s="528">
        <f t="shared" si="69"/>
        <v>611.47760455959519</v>
      </c>
      <c r="CI103" s="528">
        <f t="shared" si="70"/>
        <v>2421.0205110260358</v>
      </c>
      <c r="CJ103" s="528">
        <f t="shared" si="71"/>
        <v>3246.512364023481</v>
      </c>
      <c r="CK103" s="528">
        <f t="shared" si="72"/>
        <v>41.561510582968587</v>
      </c>
      <c r="CL103" s="528">
        <f t="shared" si="73"/>
        <v>7796.9842331839673</v>
      </c>
      <c r="CM103" s="646">
        <f t="shared" si="74"/>
        <v>0</v>
      </c>
    </row>
    <row r="104" spans="1:91" s="4" customFormat="1">
      <c r="A104" s="150">
        <f>'Input data'!A124</f>
        <v>2024</v>
      </c>
      <c r="B104" s="1508">
        <f>'Input data'!B124</f>
        <v>62.088000000000001</v>
      </c>
      <c r="C104" s="1509">
        <f>'Input data'!C124</f>
        <v>3201.77</v>
      </c>
      <c r="D104" s="1509">
        <f>'Input data'!D124</f>
        <v>43251251.992583826</v>
      </c>
      <c r="E104" s="1457">
        <f t="shared" si="75"/>
        <v>0.868369230769231</v>
      </c>
      <c r="F104" s="1451">
        <f t="shared" si="76"/>
        <v>0.33289230769230777</v>
      </c>
      <c r="G104" s="1556">
        <f>B104*F104*'Input data'!$C$9</f>
        <v>632.60566667337889</v>
      </c>
      <c r="H104" s="1551">
        <f>'Input data'!I124</f>
        <v>424.26313389388866</v>
      </c>
      <c r="I104" s="1559">
        <f>'Input data'!K124</f>
        <v>26341.649457203759</v>
      </c>
      <c r="J104" s="1559">
        <f t="shared" ref="J104:J106" si="85">($J$107-$J$102)/($A$107-$A$102)+J103</f>
        <v>4903.3783595369778</v>
      </c>
      <c r="K104" s="1513">
        <f t="shared" si="77"/>
        <v>7338.0720968795058</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151.8730054923094</v>
      </c>
      <c r="R104" s="1511">
        <f t="shared" si="34"/>
        <v>105.98170352628324</v>
      </c>
      <c r="S104" s="1511">
        <f t="shared" si="35"/>
        <v>310.35831800503274</v>
      </c>
      <c r="T104" s="1511">
        <f t="shared" si="36"/>
        <v>208.97586277104119</v>
      </c>
      <c r="U104" s="1513">
        <f t="shared" si="37"/>
        <v>0</v>
      </c>
      <c r="V104" s="1511">
        <f t="shared" si="38"/>
        <v>777.18888979466658</v>
      </c>
      <c r="W104" s="1456">
        <f>($N$147-$N$142)/($A$107-$A$102)+W103</f>
        <v>0.5</v>
      </c>
      <c r="X104" s="530">
        <f t="shared" si="39"/>
        <v>3033.4882588631699</v>
      </c>
      <c r="Y104" s="1510">
        <f t="shared" si="78"/>
        <v>3810.6771486578364</v>
      </c>
      <c r="Z104" s="1511">
        <f t="shared" si="79"/>
        <v>8430.7733077586472</v>
      </c>
      <c r="AA104" s="1513">
        <f t="shared" si="80"/>
        <v>3527.3949482216694</v>
      </c>
      <c r="AB104" s="1091">
        <f t="shared" si="40"/>
        <v>0.41839518386474567</v>
      </c>
      <c r="AC104" s="135" t="str">
        <f t="shared" si="41"/>
        <v>Yes</v>
      </c>
      <c r="AD104" s="1091">
        <f t="shared" si="42"/>
        <v>0.41839518386474567</v>
      </c>
      <c r="AE104" s="649">
        <f t="shared" si="10"/>
        <v>0.19519821477542387</v>
      </c>
      <c r="AF104" s="530">
        <f t="shared" si="43"/>
        <v>341.44772756277496</v>
      </c>
      <c r="AG104" s="528">
        <f t="shared" si="44"/>
        <v>4903.3783595369778</v>
      </c>
      <c r="AH104" s="528">
        <f t="shared" si="81"/>
        <v>7997.8186147271481</v>
      </c>
      <c r="AI104" s="528">
        <f t="shared" si="82"/>
        <v>6437.663217588939</v>
      </c>
      <c r="AJ104" s="528">
        <f t="shared" si="11"/>
        <v>1860.9463170645056</v>
      </c>
      <c r="AK104" s="528">
        <f t="shared" si="45"/>
        <v>21199.806508917573</v>
      </c>
      <c r="AL104" s="716">
        <f t="shared" si="12"/>
        <v>0</v>
      </c>
      <c r="AM104" s="417">
        <f t="shared" si="46"/>
        <v>0.23129354305542368</v>
      </c>
      <c r="AN104" s="417">
        <f t="shared" si="47"/>
        <v>0.37725903825409507</v>
      </c>
      <c r="AO104" s="417">
        <f t="shared" si="48"/>
        <v>0.30366613086213662</v>
      </c>
      <c r="AP104" s="417">
        <f t="shared" si="49"/>
        <v>8.7781287828344545E-2</v>
      </c>
      <c r="AQ104" s="417">
        <f t="shared" si="50"/>
        <v>1</v>
      </c>
      <c r="AR104" s="1086">
        <f t="shared" si="13"/>
        <v>931.00372634607243</v>
      </c>
      <c r="AS104" s="938">
        <f t="shared" si="14"/>
        <v>1180.7645956027111</v>
      </c>
      <c r="AT104" s="938">
        <f t="shared" si="15"/>
        <v>331.71890825789961</v>
      </c>
      <c r="AU104" s="938">
        <f t="shared" si="16"/>
        <v>0</v>
      </c>
      <c r="AV104" s="938">
        <f t="shared" si="17"/>
        <v>0</v>
      </c>
      <c r="AW104" s="938">
        <f t="shared" si="18"/>
        <v>0</v>
      </c>
      <c r="AX104" s="938">
        <f t="shared" si="19"/>
        <v>1787.870369672135</v>
      </c>
      <c r="AY104" s="938">
        <f t="shared" si="20"/>
        <v>196.84582286431382</v>
      </c>
      <c r="AZ104" s="938">
        <f t="shared" si="21"/>
        <v>195.20114523373906</v>
      </c>
      <c r="BA104" s="938">
        <f t="shared" si="22"/>
        <v>208.73494255741815</v>
      </c>
      <c r="BB104" s="938">
        <f t="shared" si="23"/>
        <v>71.238849002687004</v>
      </c>
      <c r="BC104" s="530">
        <f t="shared" si="51"/>
        <v>4903.3783595369769</v>
      </c>
      <c r="BD104" s="724">
        <f t="shared" si="52"/>
        <v>0</v>
      </c>
      <c r="BE104" s="436">
        <f t="shared" si="53"/>
        <v>0.18986985259566763</v>
      </c>
      <c r="BF104" s="624">
        <f t="shared" si="54"/>
        <v>0.24080633983835789</v>
      </c>
      <c r="BG104" s="624">
        <f t="shared" si="55"/>
        <v>6.7651093579738281E-2</v>
      </c>
      <c r="BH104" s="624">
        <f t="shared" si="56"/>
        <v>0</v>
      </c>
      <c r="BI104" s="624">
        <f t="shared" si="57"/>
        <v>0</v>
      </c>
      <c r="BJ104" s="624">
        <f t="shared" si="58"/>
        <v>0</v>
      </c>
      <c r="BK104" s="624">
        <f t="shared" si="59"/>
        <v>0.50167271398623592</v>
      </c>
      <c r="BL104" s="624">
        <f t="shared" si="60"/>
        <v>0.99999999999999978</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81.604265546673517</v>
      </c>
      <c r="BW104" s="114">
        <f t="shared" si="63"/>
        <v>0.5391129041020245</v>
      </c>
      <c r="BX104" s="1695">
        <f t="shared" si="24"/>
        <v>43.251251992583825</v>
      </c>
      <c r="BY104" s="527">
        <f t="shared" si="64"/>
        <v>81.604265546673517</v>
      </c>
      <c r="BZ104" s="417">
        <f t="shared" si="65"/>
        <v>0.5391129041020245</v>
      </c>
      <c r="CA104" s="544">
        <f t="shared" si="25"/>
        <v>43.251251992583825</v>
      </c>
      <c r="CB104" s="649">
        <f t="shared" si="26"/>
        <v>0.19519821477542387</v>
      </c>
      <c r="CC104" s="525">
        <f t="shared" si="66"/>
        <v>0.26096749156170729</v>
      </c>
      <c r="CD104" s="417">
        <f t="shared" si="27"/>
        <v>0.19519821477542387</v>
      </c>
      <c r="CE104" s="525">
        <f t="shared" si="67"/>
        <v>0.26096749156170729</v>
      </c>
      <c r="CF104"/>
      <c r="CG104" s="527">
        <f t="shared" si="68"/>
        <v>1515.1140309827967</v>
      </c>
      <c r="CH104" s="528">
        <f t="shared" si="69"/>
        <v>633.66098287143257</v>
      </c>
      <c r="CI104" s="528">
        <f t="shared" si="70"/>
        <v>2493.2432659188598</v>
      </c>
      <c r="CJ104" s="528">
        <f t="shared" si="71"/>
        <v>3313.7601096551016</v>
      </c>
      <c r="CK104" s="528">
        <f t="shared" si="72"/>
        <v>42.040225298958205</v>
      </c>
      <c r="CL104" s="528">
        <f t="shared" si="73"/>
        <v>7997.8186147271481</v>
      </c>
      <c r="CM104" s="646">
        <f t="shared" si="74"/>
        <v>0</v>
      </c>
    </row>
    <row r="105" spans="1:91" s="4" customFormat="1">
      <c r="A105" s="150">
        <f>'Input data'!A125</f>
        <v>2025</v>
      </c>
      <c r="B105" s="1508">
        <f>'Input data'!B125</f>
        <v>62.802999999999997</v>
      </c>
      <c r="C105" s="1509">
        <f>'Input data'!C125</f>
        <v>3265.54</v>
      </c>
      <c r="D105" s="1509">
        <f>'Input data'!D125</f>
        <v>40955103.194912732</v>
      </c>
      <c r="E105" s="1457">
        <f t="shared" si="75"/>
        <v>0.89030769230769258</v>
      </c>
      <c r="F105" s="1451">
        <f t="shared" si="76"/>
        <v>0.33907692307692316</v>
      </c>
      <c r="G105" s="1556">
        <f>B105*F105*'Input data'!$C$9</f>
        <v>651.7788609568936</v>
      </c>
      <c r="H105" s="1551">
        <f>'Input data'!I125</f>
        <v>424.26313389388866</v>
      </c>
      <c r="I105" s="1559">
        <f>'Input data'!K125</f>
        <v>26644.997597937887</v>
      </c>
      <c r="J105" s="1559">
        <f t="shared" si="85"/>
        <v>4569.0571077503655</v>
      </c>
      <c r="K105" s="1513">
        <f t="shared" si="77"/>
        <v>7813.3648258652183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175.56795633724505</v>
      </c>
      <c r="R105" s="1511">
        <f t="shared" si="34"/>
        <v>122.51677667754814</v>
      </c>
      <c r="S105" s="1511">
        <f t="shared" si="35"/>
        <v>358.77985984262114</v>
      </c>
      <c r="T105" s="1511">
        <f t="shared" si="36"/>
        <v>241.57989783366884</v>
      </c>
      <c r="U105" s="1513">
        <f t="shared" si="37"/>
        <v>0</v>
      </c>
      <c r="V105" s="1511">
        <f t="shared" si="38"/>
        <v>898.44449069108316</v>
      </c>
      <c r="W105" s="1456">
        <f>($N$147-$N$142)/($A$107-$A$102)+W104</f>
        <v>0.5</v>
      </c>
      <c r="X105" s="530">
        <f t="shared" si="39"/>
        <v>3033.4882588631699</v>
      </c>
      <c r="Y105" s="1510">
        <f t="shared" si="78"/>
        <v>3931.932749554253</v>
      </c>
      <c r="Z105" s="1511">
        <f t="shared" si="79"/>
        <v>8450.4891840613309</v>
      </c>
      <c r="AA105" s="1513">
        <f t="shared" si="80"/>
        <v>3881.4320763109654</v>
      </c>
      <c r="AB105" s="1091">
        <f t="shared" si="40"/>
        <v>0.45931448366703159</v>
      </c>
      <c r="AC105" s="135" t="str">
        <f t="shared" si="41"/>
        <v>Yes</v>
      </c>
      <c r="AD105" s="1091">
        <f t="shared" si="42"/>
        <v>0.45931448366703159</v>
      </c>
      <c r="AE105" s="649">
        <f t="shared" si="10"/>
        <v>0.21340254569298889</v>
      </c>
      <c r="AF105" s="530">
        <f t="shared" si="43"/>
        <v>333.72430107724745</v>
      </c>
      <c r="AG105" s="528">
        <f t="shared" si="44"/>
        <v>4569.0571077503655</v>
      </c>
      <c r="AH105" s="528">
        <f t="shared" si="81"/>
        <v>8202.226358603315</v>
      </c>
      <c r="AI105" s="528">
        <f t="shared" si="82"/>
        <v>6437.663217588939</v>
      </c>
      <c r="AJ105" s="528">
        <f t="shared" si="11"/>
        <v>1749.9405966117486</v>
      </c>
      <c r="AK105" s="528">
        <f t="shared" si="45"/>
        <v>20958.887280554369</v>
      </c>
      <c r="AL105" s="716">
        <f t="shared" si="12"/>
        <v>0</v>
      </c>
      <c r="AM105" s="417">
        <f t="shared" si="46"/>
        <v>0.21800093900927323</v>
      </c>
      <c r="AN105" s="417">
        <f t="shared" si="47"/>
        <v>0.39134836925304384</v>
      </c>
      <c r="AO105" s="417">
        <f t="shared" si="48"/>
        <v>0.30715672694903967</v>
      </c>
      <c r="AP105" s="417">
        <f t="shared" si="49"/>
        <v>8.349396478864321E-2</v>
      </c>
      <c r="AQ105" s="417">
        <f t="shared" si="50"/>
        <v>1</v>
      </c>
      <c r="AR105" s="1086">
        <f t="shared" si="13"/>
        <v>883.79625620083186</v>
      </c>
      <c r="AS105" s="938">
        <f t="shared" si="14"/>
        <v>1120.8927521094104</v>
      </c>
      <c r="AT105" s="938">
        <f t="shared" si="15"/>
        <v>300.06594539102929</v>
      </c>
      <c r="AU105" s="938">
        <f t="shared" si="16"/>
        <v>0</v>
      </c>
      <c r="AV105" s="938">
        <f t="shared" si="17"/>
        <v>0</v>
      </c>
      <c r="AW105" s="938">
        <f t="shared" si="18"/>
        <v>0</v>
      </c>
      <c r="AX105" s="938">
        <f t="shared" si="19"/>
        <v>1681.2236401874</v>
      </c>
      <c r="AY105" s="938">
        <f t="shared" si="20"/>
        <v>176.82355985918841</v>
      </c>
      <c r="AZ105" s="938">
        <f t="shared" si="21"/>
        <v>159.30898410129168</v>
      </c>
      <c r="BA105" s="938">
        <f t="shared" si="22"/>
        <v>179.95652867845698</v>
      </c>
      <c r="BB105" s="938">
        <f t="shared" si="23"/>
        <v>66.989441222755701</v>
      </c>
      <c r="BC105" s="530">
        <f t="shared" si="51"/>
        <v>4569.0571077503646</v>
      </c>
      <c r="BD105" s="724">
        <f t="shared" si="52"/>
        <v>0</v>
      </c>
      <c r="BE105" s="436">
        <f t="shared" si="53"/>
        <v>0.1934307747438028</v>
      </c>
      <c r="BF105" s="624">
        <f t="shared" si="54"/>
        <v>0.24532255248201454</v>
      </c>
      <c r="BG105" s="624">
        <f t="shared" si="55"/>
        <v>6.5673494183742145E-2</v>
      </c>
      <c r="BH105" s="624">
        <f t="shared" si="56"/>
        <v>0</v>
      </c>
      <c r="BI105" s="624">
        <f t="shared" si="57"/>
        <v>0</v>
      </c>
      <c r="BJ105" s="624">
        <f t="shared" si="58"/>
        <v>0</v>
      </c>
      <c r="BK105" s="624">
        <f t="shared" si="59"/>
        <v>0.49557317859044042</v>
      </c>
      <c r="BL105" s="624">
        <f t="shared" si="60"/>
        <v>1</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79.393863791539559</v>
      </c>
      <c r="BW105" s="114">
        <f t="shared" si="63"/>
        <v>0.56579255878814827</v>
      </c>
      <c r="BX105" s="1695">
        <f t="shared" si="24"/>
        <v>40.955103194912731</v>
      </c>
      <c r="BY105" s="527">
        <f t="shared" si="64"/>
        <v>79.393863791539559</v>
      </c>
      <c r="BZ105" s="417">
        <f t="shared" si="65"/>
        <v>0.56579255878814827</v>
      </c>
      <c r="CA105" s="544">
        <f t="shared" si="25"/>
        <v>40.955103194912731</v>
      </c>
      <c r="CB105" s="649">
        <f t="shared" si="26"/>
        <v>0.21340254569298889</v>
      </c>
      <c r="CC105" s="525">
        <f t="shared" si="66"/>
        <v>0.27142825748973287</v>
      </c>
      <c r="CD105" s="417">
        <f t="shared" si="27"/>
        <v>0.21340254569298889</v>
      </c>
      <c r="CE105" s="525">
        <f t="shared" si="67"/>
        <v>0.27142825748973287</v>
      </c>
      <c r="CF105"/>
      <c r="CG105" s="527">
        <f t="shared" si="68"/>
        <v>1554.5079467360185</v>
      </c>
      <c r="CH105" s="528">
        <f t="shared" si="69"/>
        <v>656.27276464162196</v>
      </c>
      <c r="CI105" s="528">
        <f t="shared" si="70"/>
        <v>2566.8027206825914</v>
      </c>
      <c r="CJ105" s="528">
        <f t="shared" si="71"/>
        <v>3382.1185696713765</v>
      </c>
      <c r="CK105" s="528">
        <f t="shared" si="72"/>
        <v>42.524356871705834</v>
      </c>
      <c r="CL105" s="528">
        <f t="shared" si="73"/>
        <v>8202.2263586033132</v>
      </c>
      <c r="CM105" s="646">
        <f t="shared" si="74"/>
        <v>0</v>
      </c>
    </row>
    <row r="106" spans="1:91" s="4" customFormat="1">
      <c r="A106" s="150">
        <f>'Input data'!A126</f>
        <v>2026</v>
      </c>
      <c r="B106" s="1508">
        <f>'Input data'!B126</f>
        <v>63.420999999999999</v>
      </c>
      <c r="C106" s="1509">
        <f>'Input data'!C126</f>
        <v>3341.28</v>
      </c>
      <c r="D106" s="1509">
        <f>'Input data'!D126</f>
        <v>39969673.998818383</v>
      </c>
      <c r="E106" s="1457">
        <f t="shared" si="75"/>
        <v>0.91224615384615415</v>
      </c>
      <c r="F106" s="1451">
        <f t="shared" si="76"/>
        <v>0.34526153846153856</v>
      </c>
      <c r="G106" s="1556">
        <f>B106*F106*'Input data'!$C$9</f>
        <v>670.19770228173195</v>
      </c>
      <c r="H106" s="1551">
        <f>'Input data'!I126</f>
        <v>424.26313389388866</v>
      </c>
      <c r="I106" s="1559">
        <f>'Input data'!K126</f>
        <v>26907.192214684314</v>
      </c>
      <c r="J106" s="1559">
        <f t="shared" si="85"/>
        <v>4234.7358559637532</v>
      </c>
      <c r="K106" s="1513">
        <f t="shared" si="77"/>
        <v>8269.5327530490977</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199.45754627521751</v>
      </c>
      <c r="R106" s="1511">
        <f t="shared" si="34"/>
        <v>139.18767503742083</v>
      </c>
      <c r="S106" s="1511">
        <f t="shared" si="35"/>
        <v>407.59915414014858</v>
      </c>
      <c r="T106" s="1511">
        <f t="shared" si="36"/>
        <v>274.45175450333181</v>
      </c>
      <c r="U106" s="1513">
        <f t="shared" si="37"/>
        <v>0</v>
      </c>
      <c r="V106" s="1511">
        <f t="shared" si="38"/>
        <v>1020.6961299561187</v>
      </c>
      <c r="W106" s="1456">
        <f>($N$147-$N$142)/($A$107-$A$102)+W105</f>
        <v>0.5</v>
      </c>
      <c r="X106" s="530">
        <f t="shared" si="39"/>
        <v>3033.4882588631699</v>
      </c>
      <c r="Y106" s="1510">
        <f t="shared" si="78"/>
        <v>4054.1843888192889</v>
      </c>
      <c r="Z106" s="1511">
        <f t="shared" si="79"/>
        <v>8450.0842201935611</v>
      </c>
      <c r="AA106" s="1513">
        <f t="shared" si="80"/>
        <v>4215.3483642298079</v>
      </c>
      <c r="AB106" s="1091">
        <f t="shared" si="40"/>
        <v>0.49885282257379077</v>
      </c>
      <c r="AC106" s="135" t="str">
        <f t="shared" si="41"/>
        <v>Yes</v>
      </c>
      <c r="AD106" s="1091">
        <f t="shared" si="42"/>
        <v>0.49885282257379077</v>
      </c>
      <c r="AE106" s="649">
        <f t="shared" si="10"/>
        <v>0.23044058777428511</v>
      </c>
      <c r="AF106" s="530">
        <f t="shared" si="43"/>
        <v>326.49568794842071</v>
      </c>
      <c r="AG106" s="528">
        <f t="shared" si="44"/>
        <v>4234.7358559637532</v>
      </c>
      <c r="AH106" s="528">
        <f t="shared" si="81"/>
        <v>8396.3493606116863</v>
      </c>
      <c r="AI106" s="528">
        <f t="shared" si="82"/>
        <v>6437.663217588939</v>
      </c>
      <c r="AJ106" s="528">
        <f t="shared" si="11"/>
        <v>1637.9345912124134</v>
      </c>
      <c r="AK106" s="528">
        <f t="shared" si="45"/>
        <v>20706.683025376791</v>
      </c>
      <c r="AL106" s="716">
        <f t="shared" si="12"/>
        <v>0</v>
      </c>
      <c r="AM106" s="417">
        <f t="shared" si="46"/>
        <v>0.20451058485677936</v>
      </c>
      <c r="AN106" s="417">
        <f t="shared" si="47"/>
        <v>0.40548982907217229</v>
      </c>
      <c r="AO106" s="417">
        <f t="shared" si="48"/>
        <v>0.31089784924506497</v>
      </c>
      <c r="AP106" s="417">
        <f t="shared" si="49"/>
        <v>7.9101736825983426E-2</v>
      </c>
      <c r="AQ106" s="417">
        <f t="shared" si="50"/>
        <v>1</v>
      </c>
      <c r="AR106" s="1086">
        <f t="shared" si="13"/>
        <v>833.82343446598816</v>
      </c>
      <c r="AS106" s="938">
        <f t="shared" si="14"/>
        <v>1057.5136946716366</v>
      </c>
      <c r="AT106" s="938">
        <f t="shared" si="15"/>
        <v>269.75364474093976</v>
      </c>
      <c r="AU106" s="938">
        <f t="shared" si="16"/>
        <v>0</v>
      </c>
      <c r="AV106" s="938">
        <f t="shared" si="17"/>
        <v>0</v>
      </c>
      <c r="AW106" s="938">
        <f t="shared" si="18"/>
        <v>0</v>
      </c>
      <c r="AX106" s="938">
        <f t="shared" si="19"/>
        <v>1573.6159051106085</v>
      </c>
      <c r="AY106" s="938">
        <f t="shared" si="20"/>
        <v>157.75547100043104</v>
      </c>
      <c r="AZ106" s="938">
        <f t="shared" si="21"/>
        <v>126.41596456587044</v>
      </c>
      <c r="BA106" s="938">
        <f t="shared" si="22"/>
        <v>153.1559998536267</v>
      </c>
      <c r="BB106" s="938">
        <f t="shared" si="23"/>
        <v>62.701741554651406</v>
      </c>
      <c r="BC106" s="530">
        <f t="shared" si="51"/>
        <v>4234.7358559637532</v>
      </c>
      <c r="BD106" s="724">
        <f t="shared" si="52"/>
        <v>0</v>
      </c>
      <c r="BE106" s="436">
        <f t="shared" si="53"/>
        <v>0.1969009314457523</v>
      </c>
      <c r="BF106" s="624">
        <f t="shared" si="54"/>
        <v>0.24972364998453123</v>
      </c>
      <c r="BG106" s="624">
        <f t="shared" si="55"/>
        <v>6.370022922705966E-2</v>
      </c>
      <c r="BH106" s="624">
        <f t="shared" si="56"/>
        <v>0</v>
      </c>
      <c r="BI106" s="624">
        <f t="shared" si="57"/>
        <v>0</v>
      </c>
      <c r="BJ106" s="624">
        <f t="shared" si="58"/>
        <v>0</v>
      </c>
      <c r="BK106" s="624">
        <f t="shared" si="59"/>
        <v>0.48967518934265669</v>
      </c>
      <c r="BL106" s="624">
        <f t="shared" si="60"/>
        <v>0.99999999999999978</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78.544213770689353</v>
      </c>
      <c r="BW106" s="114">
        <f t="shared" si="63"/>
        <v>0.58776150564330831</v>
      </c>
      <c r="BX106" s="1695">
        <f t="shared" si="24"/>
        <v>39.969673998818379</v>
      </c>
      <c r="BY106" s="527">
        <f t="shared" si="64"/>
        <v>78.544213770689353</v>
      </c>
      <c r="BZ106" s="417">
        <f t="shared" si="65"/>
        <v>0.58776150564330831</v>
      </c>
      <c r="CA106" s="544">
        <f t="shared" si="25"/>
        <v>39.969673998818379</v>
      </c>
      <c r="CB106" s="649">
        <f t="shared" si="26"/>
        <v>0.23044058777428511</v>
      </c>
      <c r="CC106" s="525">
        <f t="shared" si="66"/>
        <v>0.27820155971260785</v>
      </c>
      <c r="CD106" s="417">
        <f t="shared" si="27"/>
        <v>0.23044058777428511</v>
      </c>
      <c r="CE106" s="525">
        <f t="shared" si="67"/>
        <v>0.27820155971260785</v>
      </c>
      <c r="CF106"/>
      <c r="CG106" s="527">
        <f t="shared" si="68"/>
        <v>1591.9667119373773</v>
      </c>
      <c r="CH106" s="528">
        <f t="shared" si="69"/>
        <v>678.19597898260679</v>
      </c>
      <c r="CI106" s="528">
        <f t="shared" si="70"/>
        <v>2637.349609649149</v>
      </c>
      <c r="CJ106" s="528">
        <f t="shared" si="71"/>
        <v>3445.8942509862914</v>
      </c>
      <c r="CK106" s="528">
        <f t="shared" si="72"/>
        <v>42.942809056262533</v>
      </c>
      <c r="CL106" s="528">
        <f t="shared" si="73"/>
        <v>8396.3493606116881</v>
      </c>
      <c r="CM106" s="646">
        <f t="shared" si="74"/>
        <v>0</v>
      </c>
    </row>
    <row r="107" spans="1:91" s="464" customFormat="1">
      <c r="A107" s="150">
        <f>'Input data'!A127</f>
        <v>2027</v>
      </c>
      <c r="B107" s="1508">
        <f>'Input data'!B127</f>
        <v>64.046000000000006</v>
      </c>
      <c r="C107" s="1509">
        <f>'Input data'!C127</f>
        <v>3416.2799999999997</v>
      </c>
      <c r="D107" s="1509">
        <f>'Input data'!D127</f>
        <v>38984244.802724026</v>
      </c>
      <c r="E107" s="1457">
        <f t="shared" si="75"/>
        <v>0.93418461538461572</v>
      </c>
      <c r="F107" s="1451">
        <f t="shared" si="76"/>
        <v>0.35144615384615396</v>
      </c>
      <c r="G107" s="1556">
        <f>B107*F107*'Input data'!$C$9</f>
        <v>688.92580678167349</v>
      </c>
      <c r="H107" s="1551">
        <f>'Input data'!I127</f>
        <v>424.26313389388866</v>
      </c>
      <c r="I107" s="1559">
        <f>'Input data'!K127</f>
        <v>27172.356673367995</v>
      </c>
      <c r="J107" s="1559">
        <f>J97*(1-$G$5)</f>
        <v>3900.4146041771414</v>
      </c>
      <c r="K107" s="1513">
        <f t="shared" si="77"/>
        <v>8727.0808205691883</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223.80350722846038</v>
      </c>
      <c r="R107" s="1511">
        <f t="shared" si="34"/>
        <v>156.17704327600302</v>
      </c>
      <c r="S107" s="1511">
        <f t="shared" si="35"/>
        <v>457.3510601301</v>
      </c>
      <c r="T107" s="1511">
        <f t="shared" si="36"/>
        <v>307.9515735047521</v>
      </c>
      <c r="U107" s="1513">
        <f t="shared" si="37"/>
        <v>0</v>
      </c>
      <c r="V107" s="1511">
        <f t="shared" si="38"/>
        <v>1145.2831841393154</v>
      </c>
      <c r="W107" s="1456">
        <f>$C$27</f>
        <v>0.5</v>
      </c>
      <c r="X107" s="530">
        <f t="shared" si="39"/>
        <v>3033.4882588631699</v>
      </c>
      <c r="Y107" s="1510">
        <f t="shared" si="78"/>
        <v>4178.7714430024853</v>
      </c>
      <c r="Z107" s="1511">
        <f t="shared" si="79"/>
        <v>8448.7239817438458</v>
      </c>
      <c r="AA107" s="1513">
        <f t="shared" si="80"/>
        <v>4548.3093775667039</v>
      </c>
      <c r="AB107" s="1091">
        <f t="shared" si="40"/>
        <v>0.53834275890593331</v>
      </c>
      <c r="AC107" s="135" t="str">
        <f t="shared" si="41"/>
        <v>Yes</v>
      </c>
      <c r="AD107" s="1091">
        <f t="shared" si="42"/>
        <v>0.53834275890593331</v>
      </c>
      <c r="AE107" s="649">
        <f t="shared" si="10"/>
        <v>0.24719683589081587</v>
      </c>
      <c r="AF107" s="530">
        <f t="shared" si="43"/>
        <v>319.38662961019782</v>
      </c>
      <c r="AG107" s="528">
        <f t="shared" si="44"/>
        <v>3900.4146041771414</v>
      </c>
      <c r="AH107" s="528">
        <f t="shared" si="81"/>
        <v>8593.6218544624971</v>
      </c>
      <c r="AI107" s="528">
        <f t="shared" si="82"/>
        <v>6437.663217588939</v>
      </c>
      <c r="AJ107" s="528">
        <f t="shared" si="11"/>
        <v>1523.736403786151</v>
      </c>
      <c r="AK107" s="528">
        <f t="shared" si="45"/>
        <v>20455.43608001473</v>
      </c>
      <c r="AL107" s="716">
        <f t="shared" si="12"/>
        <v>0</v>
      </c>
      <c r="AM107" s="417">
        <f t="shared" si="46"/>
        <v>0.19067863373433067</v>
      </c>
      <c r="AN107" s="417">
        <f t="shared" si="47"/>
        <v>0.4201143315081215</v>
      </c>
      <c r="AO107" s="417">
        <f t="shared" si="48"/>
        <v>0.31471649846070177</v>
      </c>
      <c r="AP107" s="417">
        <f t="shared" si="49"/>
        <v>7.449053629684603E-2</v>
      </c>
      <c r="AQ107" s="417">
        <f t="shared" si="50"/>
        <v>1</v>
      </c>
      <c r="AR107" s="1086">
        <f t="shared" si="13"/>
        <v>781.77290622668352</v>
      </c>
      <c r="AS107" s="938">
        <f t="shared" si="14"/>
        <v>991.49954329052309</v>
      </c>
      <c r="AT107" s="938">
        <f t="shared" si="15"/>
        <v>240.61414111356493</v>
      </c>
      <c r="AU107" s="938">
        <f t="shared" si="16"/>
        <v>0</v>
      </c>
      <c r="AV107" s="938">
        <f t="shared" si="17"/>
        <v>0</v>
      </c>
      <c r="AW107" s="938">
        <f t="shared" si="18"/>
        <v>0</v>
      </c>
      <c r="AX107" s="938">
        <f t="shared" si="19"/>
        <v>1463.9020709728541</v>
      </c>
      <c r="AY107" s="938">
        <f t="shared" si="20"/>
        <v>139.54659961312186</v>
      </c>
      <c r="AZ107" s="938">
        <f t="shared" si="21"/>
        <v>96.488193548315877</v>
      </c>
      <c r="BA107" s="938">
        <f t="shared" si="22"/>
        <v>128.2610264021624</v>
      </c>
      <c r="BB107" s="938">
        <f t="shared" si="23"/>
        <v>58.33012300991394</v>
      </c>
      <c r="BC107" s="530">
        <f t="shared" si="51"/>
        <v>3900.4146041771401</v>
      </c>
      <c r="BD107" s="724">
        <f t="shared" si="52"/>
        <v>0</v>
      </c>
      <c r="BE107" s="436">
        <f t="shared" si="53"/>
        <v>0.20043328352566561</v>
      </c>
      <c r="BF107" s="624">
        <f t="shared" si="54"/>
        <v>0.25420362805243291</v>
      </c>
      <c r="BG107" s="624">
        <f t="shared" si="55"/>
        <v>6.1689375497640628E-2</v>
      </c>
      <c r="BH107" s="624">
        <f t="shared" si="56"/>
        <v>0</v>
      </c>
      <c r="BI107" s="624">
        <f t="shared" si="57"/>
        <v>0</v>
      </c>
      <c r="BJ107" s="624">
        <f t="shared" si="58"/>
        <v>0</v>
      </c>
      <c r="BK107" s="624">
        <f t="shared" si="59"/>
        <v>0.4836737129242607</v>
      </c>
      <c r="BL107" s="624">
        <f t="shared" si="60"/>
        <v>0.99999999999999978</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77.691730358063538</v>
      </c>
      <c r="BW107" s="114">
        <f t="shared" si="63"/>
        <v>0.60953628978376417</v>
      </c>
      <c r="BX107" s="1695">
        <f t="shared" si="24"/>
        <v>38.984244802724028</v>
      </c>
      <c r="BY107" s="527">
        <f t="shared" si="64"/>
        <v>77.691730358063538</v>
      </c>
      <c r="BZ107" s="417">
        <f t="shared" si="65"/>
        <v>0.60953628978376417</v>
      </c>
      <c r="CA107" s="544">
        <f t="shared" si="25"/>
        <v>38.984244802724028</v>
      </c>
      <c r="CB107" s="649">
        <f t="shared" si="26"/>
        <v>0.24719683589081587</v>
      </c>
      <c r="CC107" s="525">
        <f t="shared" si="66"/>
        <v>0.28495547475082317</v>
      </c>
      <c r="CD107" s="417">
        <f t="shared" si="27"/>
        <v>0.24719683589081587</v>
      </c>
      <c r="CE107" s="525">
        <f t="shared" si="67"/>
        <v>0.28495547475082317</v>
      </c>
      <c r="CF107" s="1"/>
      <c r="CG107" s="527">
        <f t="shared" si="68"/>
        <v>1630.0355443139479</v>
      </c>
      <c r="CH107" s="528">
        <f t="shared" si="69"/>
        <v>700.49715545451465</v>
      </c>
      <c r="CI107" s="528">
        <f t="shared" si="70"/>
        <v>2709.0752157493653</v>
      </c>
      <c r="CJ107" s="528">
        <f t="shared" si="71"/>
        <v>3510.647937954187</v>
      </c>
      <c r="CK107" s="528">
        <f t="shared" si="72"/>
        <v>43.366000990482497</v>
      </c>
      <c r="CL107" s="528">
        <f t="shared" si="73"/>
        <v>8593.621854462499</v>
      </c>
      <c r="CM107" s="646">
        <f t="shared" si="74"/>
        <v>0</v>
      </c>
    </row>
    <row r="108" spans="1:91" s="4" customFormat="1">
      <c r="A108" s="150">
        <f>'Input data'!A128</f>
        <v>2028</v>
      </c>
      <c r="B108" s="1508">
        <f>'Input data'!B128</f>
        <v>64.676000000000002</v>
      </c>
      <c r="C108" s="1509">
        <f>'Input data'!C128</f>
        <v>3494.8800000000006</v>
      </c>
      <c r="D108" s="1509">
        <f>'Input data'!D128</f>
        <v>37998815.60662967</v>
      </c>
      <c r="E108" s="1457">
        <f t="shared" si="75"/>
        <v>0.9561230769230773</v>
      </c>
      <c r="F108" s="1451">
        <f t="shared" si="76"/>
        <v>0.35763076923076936</v>
      </c>
      <c r="G108" s="1556">
        <f>B108*F108*'Input data'!$C$9</f>
        <v>707.94525755332154</v>
      </c>
      <c r="H108" s="1551">
        <f>'Input data'!I128</f>
        <v>424.26313389388866</v>
      </c>
      <c r="I108" s="1559">
        <f>'Input data'!K128</f>
        <v>27439.642447721144</v>
      </c>
      <c r="J108" s="1559">
        <f>($J$112-$J$107)/($A$112-$A$107)+J107</f>
        <v>3566.0933523905292</v>
      </c>
      <c r="K108" s="1513">
        <f t="shared" si="77"/>
        <v>9185.6147026151484</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248.60548975515553</v>
      </c>
      <c r="R108" s="1511">
        <f t="shared" si="34"/>
        <v>173.48463754193301</v>
      </c>
      <c r="S108" s="1511">
        <f t="shared" si="35"/>
        <v>508.03486371470126</v>
      </c>
      <c r="T108" s="1511">
        <f t="shared" si="36"/>
        <v>342.07887400919162</v>
      </c>
      <c r="U108" s="1513">
        <f t="shared" si="37"/>
        <v>0</v>
      </c>
      <c r="V108" s="1511">
        <f t="shared" si="38"/>
        <v>1272.2038650209815</v>
      </c>
      <c r="W108" s="1456">
        <f>W107</f>
        <v>0.5</v>
      </c>
      <c r="X108" s="530">
        <f t="shared" si="39"/>
        <v>3033.4882588631699</v>
      </c>
      <c r="Y108" s="1510">
        <f t="shared" si="78"/>
        <v>4305.6921238841514</v>
      </c>
      <c r="Z108" s="1511">
        <f t="shared" si="79"/>
        <v>8446.0159311215266</v>
      </c>
      <c r="AA108" s="1513">
        <f t="shared" si="80"/>
        <v>4879.922578730997</v>
      </c>
      <c r="AB108" s="1091">
        <f t="shared" si="40"/>
        <v>0.57777804571142977</v>
      </c>
      <c r="AC108" s="135" t="str">
        <f t="shared" si="41"/>
        <v>Yes</v>
      </c>
      <c r="AD108" s="1091">
        <f t="shared" si="42"/>
        <v>0.57777804571142977</v>
      </c>
      <c r="AE108" s="649">
        <f t="shared" si="10"/>
        <v>0.26366200487589864</v>
      </c>
      <c r="AF108" s="530">
        <f t="shared" si="43"/>
        <v>312.40106541649413</v>
      </c>
      <c r="AG108" s="528">
        <f t="shared" si="44"/>
        <v>3566.0933523905292</v>
      </c>
      <c r="AH108" s="528">
        <f t="shared" si="81"/>
        <v>8793.8094585291183</v>
      </c>
      <c r="AI108" s="528">
        <f t="shared" si="82"/>
        <v>6437.663217588939</v>
      </c>
      <c r="AJ108" s="528">
        <f t="shared" si="11"/>
        <v>1407.2852783685898</v>
      </c>
      <c r="AK108" s="528">
        <f t="shared" si="45"/>
        <v>20204.851306877175</v>
      </c>
      <c r="AL108" s="716">
        <f t="shared" si="12"/>
        <v>0</v>
      </c>
      <c r="AM108" s="417">
        <f t="shared" si="46"/>
        <v>0.17649688672426553</v>
      </c>
      <c r="AN108" s="417">
        <f t="shared" si="47"/>
        <v>0.43523257483889266</v>
      </c>
      <c r="AO108" s="417">
        <f t="shared" si="48"/>
        <v>0.3186196780076147</v>
      </c>
      <c r="AP108" s="417">
        <f t="shared" si="49"/>
        <v>6.9650860429227149E-2</v>
      </c>
      <c r="AQ108" s="417">
        <f t="shared" si="50"/>
        <v>1</v>
      </c>
      <c r="AR108" s="1086">
        <f t="shared" si="13"/>
        <v>727.58052780560331</v>
      </c>
      <c r="AS108" s="938">
        <f t="shared" si="14"/>
        <v>922.76894643002311</v>
      </c>
      <c r="AT108" s="938">
        <f t="shared" si="15"/>
        <v>212.68284627613082</v>
      </c>
      <c r="AU108" s="938">
        <f t="shared" si="16"/>
        <v>0</v>
      </c>
      <c r="AV108" s="938">
        <f t="shared" si="17"/>
        <v>0</v>
      </c>
      <c r="AW108" s="938">
        <f t="shared" si="18"/>
        <v>0</v>
      </c>
      <c r="AX108" s="938">
        <f t="shared" si="19"/>
        <v>1352.0237675850115</v>
      </c>
      <c r="AY108" s="938">
        <f t="shared" si="20"/>
        <v>122.22278798462894</v>
      </c>
      <c r="AZ108" s="938">
        <f t="shared" si="21"/>
        <v>69.613794809774561</v>
      </c>
      <c r="BA108" s="938">
        <f t="shared" si="22"/>
        <v>105.32842170867798</v>
      </c>
      <c r="BB108" s="938">
        <f t="shared" si="23"/>
        <v>53.872259790677923</v>
      </c>
      <c r="BC108" s="530">
        <f t="shared" si="51"/>
        <v>3566.0933523905283</v>
      </c>
      <c r="BD108" s="724">
        <f t="shared" si="52"/>
        <v>0</v>
      </c>
      <c r="BE108" s="436">
        <f t="shared" si="53"/>
        <v>0.20402733633371381</v>
      </c>
      <c r="BF108" s="624">
        <f t="shared" si="54"/>
        <v>0.25876185933591606</v>
      </c>
      <c r="BG108" s="624">
        <f t="shared" si="55"/>
        <v>5.9640291282211953E-2</v>
      </c>
      <c r="BH108" s="624">
        <f t="shared" si="56"/>
        <v>0</v>
      </c>
      <c r="BI108" s="624">
        <f t="shared" si="57"/>
        <v>0</v>
      </c>
      <c r="BJ108" s="624">
        <f t="shared" si="58"/>
        <v>0</v>
      </c>
      <c r="BK108" s="624">
        <f t="shared" si="59"/>
        <v>0.47757051304815812</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76.858350368646072</v>
      </c>
      <c r="BW108" s="114">
        <f t="shared" si="63"/>
        <v>0.63121814481697958</v>
      </c>
      <c r="BX108" s="1695">
        <f t="shared" si="24"/>
        <v>37.99881560662967</v>
      </c>
      <c r="BY108" s="527">
        <f t="shared" si="64"/>
        <v>76.858350368646072</v>
      </c>
      <c r="BZ108" s="417">
        <f t="shared" si="65"/>
        <v>0.63121814481697958</v>
      </c>
      <c r="CA108" s="544">
        <f t="shared" si="25"/>
        <v>37.99881560662967</v>
      </c>
      <c r="CB108" s="649">
        <f t="shared" si="26"/>
        <v>0.26366200487589864</v>
      </c>
      <c r="CC108" s="525">
        <f t="shared" si="66"/>
        <v>0.29187613713108251</v>
      </c>
      <c r="CD108" s="417">
        <f t="shared" si="27"/>
        <v>0.26366200487589864</v>
      </c>
      <c r="CE108" s="525">
        <f t="shared" si="67"/>
        <v>0.29187613713108251</v>
      </c>
      <c r="CF108"/>
      <c r="CG108" s="527">
        <f t="shared" si="68"/>
        <v>1668.6701812353569</v>
      </c>
      <c r="CH108" s="528">
        <f t="shared" si="69"/>
        <v>723.15905241963685</v>
      </c>
      <c r="CI108" s="528">
        <f t="shared" si="70"/>
        <v>2781.908509045114</v>
      </c>
      <c r="CJ108" s="528">
        <f t="shared" si="71"/>
        <v>3576.2791373688342</v>
      </c>
      <c r="CK108" s="528">
        <f t="shared" si="72"/>
        <v>43.792578460176216</v>
      </c>
      <c r="CL108" s="528">
        <f t="shared" si="73"/>
        <v>8793.8094585291183</v>
      </c>
      <c r="CM108" s="646">
        <f t="shared" si="74"/>
        <v>0</v>
      </c>
    </row>
    <row r="109" spans="1:91" s="4" customFormat="1">
      <c r="A109" s="150">
        <f>'Input data'!A129</f>
        <v>2029</v>
      </c>
      <c r="B109" s="1508">
        <f>'Input data'!B129</f>
        <v>65.313000000000002</v>
      </c>
      <c r="C109" s="1509">
        <f>'Input data'!C129</f>
        <v>3576.08</v>
      </c>
      <c r="D109" s="1509">
        <f>'Input data'!D129</f>
        <v>37013386.410535313</v>
      </c>
      <c r="E109" s="1457">
        <f t="shared" si="75"/>
        <v>0.97806153846153887</v>
      </c>
      <c r="F109" s="1451">
        <f t="shared" si="76"/>
        <v>0.36381538461538476</v>
      </c>
      <c r="G109" s="1556">
        <f>B109*F109*'Input data'!$C$9</f>
        <v>727.28116463059234</v>
      </c>
      <c r="H109" s="1551">
        <f>'Input data'!I129</f>
        <v>424.26313389388866</v>
      </c>
      <c r="I109" s="1559">
        <f>'Input data'!K129</f>
        <v>27709.898064011551</v>
      </c>
      <c r="J109" s="1559">
        <f t="shared" ref="J109:J111" si="86">($J$112-$J$107)/($A$112-$A$107)+J108</f>
        <v>3231.7721006039169</v>
      </c>
      <c r="K109" s="1513">
        <f t="shared" si="77"/>
        <v>9645.5287249973226</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273.87712208623361</v>
      </c>
      <c r="R109" s="1511">
        <f t="shared" si="34"/>
        <v>191.11996803832699</v>
      </c>
      <c r="S109" s="1511">
        <f t="shared" si="35"/>
        <v>559.6784147071271</v>
      </c>
      <c r="T109" s="1511">
        <f t="shared" si="36"/>
        <v>376.85240833743046</v>
      </c>
      <c r="U109" s="1513">
        <f t="shared" si="37"/>
        <v>0</v>
      </c>
      <c r="V109" s="1511">
        <f t="shared" si="38"/>
        <v>1401.5279131691182</v>
      </c>
      <c r="W109" s="1456">
        <f t="shared" ref="W109:W130" si="87">W108</f>
        <v>0.5</v>
      </c>
      <c r="X109" s="530">
        <f t="shared" si="39"/>
        <v>3033.4882588631699</v>
      </c>
      <c r="Y109" s="1510">
        <f t="shared" si="78"/>
        <v>4435.0161720322885</v>
      </c>
      <c r="Z109" s="1511">
        <f t="shared" si="79"/>
        <v>8442.2846535689514</v>
      </c>
      <c r="AA109" s="1513">
        <f t="shared" si="80"/>
        <v>5210.512552965034</v>
      </c>
      <c r="AB109" s="1091">
        <f t="shared" si="40"/>
        <v>0.6171922372650992</v>
      </c>
      <c r="AC109" s="135" t="str">
        <f t="shared" si="41"/>
        <v>Yes</v>
      </c>
      <c r="AD109" s="1091">
        <f t="shared" si="42"/>
        <v>0.6171922372650992</v>
      </c>
      <c r="AE109" s="649">
        <f t="shared" si="10"/>
        <v>0.27985543822013526</v>
      </c>
      <c r="AF109" s="530">
        <f t="shared" si="43"/>
        <v>305.53078863736653</v>
      </c>
      <c r="AG109" s="528">
        <f t="shared" si="44"/>
        <v>3231.7721006039169</v>
      </c>
      <c r="AH109" s="528">
        <f t="shared" si="81"/>
        <v>8997.2145067864876</v>
      </c>
      <c r="AI109" s="528">
        <f t="shared" si="82"/>
        <v>6437.663217588939</v>
      </c>
      <c r="AJ109" s="528">
        <f t="shared" si="11"/>
        <v>1288.4825732929773</v>
      </c>
      <c r="AK109" s="528">
        <f t="shared" si="45"/>
        <v>19955.132398272322</v>
      </c>
      <c r="AL109" s="716">
        <f t="shared" si="12"/>
        <v>0</v>
      </c>
      <c r="AM109" s="417">
        <f t="shared" si="46"/>
        <v>0.16195192475313858</v>
      </c>
      <c r="AN109" s="417">
        <f t="shared" si="47"/>
        <v>0.45087220306117587</v>
      </c>
      <c r="AO109" s="417">
        <f t="shared" si="48"/>
        <v>0.32260689075389448</v>
      </c>
      <c r="AP109" s="417">
        <f t="shared" si="49"/>
        <v>6.4568981431791031E-2</v>
      </c>
      <c r="AQ109" s="417">
        <f t="shared" si="50"/>
        <v>1</v>
      </c>
      <c r="AR109" s="1086">
        <f t="shared" si="13"/>
        <v>671.20059537621046</v>
      </c>
      <c r="AS109" s="938">
        <f t="shared" si="14"/>
        <v>851.2639392735266</v>
      </c>
      <c r="AT109" s="938">
        <f t="shared" si="15"/>
        <v>185.99135110740426</v>
      </c>
      <c r="AU109" s="938">
        <f t="shared" si="16"/>
        <v>0</v>
      </c>
      <c r="AV109" s="938">
        <f t="shared" si="17"/>
        <v>0</v>
      </c>
      <c r="AW109" s="938">
        <f t="shared" si="18"/>
        <v>0</v>
      </c>
      <c r="AX109" s="938">
        <f t="shared" si="19"/>
        <v>1237.8862267575926</v>
      </c>
      <c r="AY109" s="938">
        <f t="shared" si="20"/>
        <v>105.80791723717968</v>
      </c>
      <c r="AZ109" s="938">
        <f t="shared" si="21"/>
        <v>45.882910506411349</v>
      </c>
      <c r="BA109" s="938">
        <f t="shared" si="22"/>
        <v>84.414784548334296</v>
      </c>
      <c r="BB109" s="938">
        <f t="shared" si="23"/>
        <v>49.324375797257524</v>
      </c>
      <c r="BC109" s="530">
        <f t="shared" si="51"/>
        <v>3231.7721006039169</v>
      </c>
      <c r="BD109" s="724">
        <f t="shared" si="52"/>
        <v>0</v>
      </c>
      <c r="BE109" s="436">
        <f t="shared" si="53"/>
        <v>0.20768809633909027</v>
      </c>
      <c r="BF109" s="624">
        <f t="shared" si="54"/>
        <v>0.26340469339235029</v>
      </c>
      <c r="BG109" s="624">
        <f t="shared" si="55"/>
        <v>5.7550887042018932E-2</v>
      </c>
      <c r="BH109" s="624">
        <f t="shared" si="56"/>
        <v>0</v>
      </c>
      <c r="BI109" s="624">
        <f t="shared" si="57"/>
        <v>0</v>
      </c>
      <c r="BJ109" s="624">
        <f t="shared" si="58"/>
        <v>0</v>
      </c>
      <c r="BK109" s="624">
        <f t="shared" si="59"/>
        <v>0.47135632322654053</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76.039154925027447</v>
      </c>
      <c r="BW109" s="114">
        <f t="shared" si="63"/>
        <v>0.65276521430474455</v>
      </c>
      <c r="BX109" s="1695">
        <f t="shared" si="24"/>
        <v>37.013386410535311</v>
      </c>
      <c r="BY109" s="527">
        <f t="shared" si="64"/>
        <v>76.039154925027447</v>
      </c>
      <c r="BZ109" s="417">
        <f t="shared" si="65"/>
        <v>0.65276521430474455</v>
      </c>
      <c r="CA109" s="544">
        <f t="shared" si="25"/>
        <v>37.013386410535311</v>
      </c>
      <c r="CB109" s="649">
        <f t="shared" si="26"/>
        <v>0.27985543822013526</v>
      </c>
      <c r="CC109" s="525">
        <f t="shared" si="66"/>
        <v>0.29891127587696775</v>
      </c>
      <c r="CD109" s="417">
        <f t="shared" si="27"/>
        <v>0.27985543822013526</v>
      </c>
      <c r="CE109" s="525">
        <f t="shared" si="67"/>
        <v>0.29891127587696775</v>
      </c>
      <c r="CF109"/>
      <c r="CG109" s="527">
        <f t="shared" si="68"/>
        <v>1707.9281641210907</v>
      </c>
      <c r="CH109" s="528">
        <f t="shared" si="69"/>
        <v>746.20817786743646</v>
      </c>
      <c r="CI109" s="528">
        <f t="shared" si="70"/>
        <v>2855.9476551899215</v>
      </c>
      <c r="CJ109" s="528">
        <f t="shared" si="71"/>
        <v>3642.9066139285046</v>
      </c>
      <c r="CK109" s="528">
        <f t="shared" si="72"/>
        <v>44.2238956795332</v>
      </c>
      <c r="CL109" s="528">
        <f t="shared" si="73"/>
        <v>8997.2145067864876</v>
      </c>
      <c r="CM109" s="646">
        <f t="shared" si="74"/>
        <v>0</v>
      </c>
    </row>
    <row r="110" spans="1:91" s="464" customFormat="1">
      <c r="A110" s="150">
        <f>'Input data'!A130</f>
        <v>2030</v>
      </c>
      <c r="B110" s="1508">
        <f>'Input data'!B130</f>
        <v>65.956000000000003</v>
      </c>
      <c r="C110" s="1509">
        <f>'Input data'!C130</f>
        <v>3660.12</v>
      </c>
      <c r="D110" s="1509">
        <f>'Input data'!D130</f>
        <v>36027957.214440949</v>
      </c>
      <c r="E110" s="1457">
        <f>C53</f>
        <v>1</v>
      </c>
      <c r="F110" s="1451">
        <f>D53</f>
        <v>0.37</v>
      </c>
      <c r="G110" s="1556">
        <f>B110*F110*'Input data'!$C$9</f>
        <v>746.92617855150922</v>
      </c>
      <c r="H110" s="1551">
        <f>'Input data'!I130</f>
        <v>424.26313389388866</v>
      </c>
      <c r="I110" s="1559">
        <f>'Input data'!K130</f>
        <v>27982.69925910532</v>
      </c>
      <c r="J110" s="1559">
        <f t="shared" si="86"/>
        <v>2897.4508488173046</v>
      </c>
      <c r="K110" s="1513">
        <f t="shared" si="77"/>
        <v>10106.625724810539</v>
      </c>
      <c r="L110" s="1451">
        <f>C19</f>
        <v>0.7</v>
      </c>
      <c r="M110" s="1451">
        <f>D19</f>
        <v>0.6</v>
      </c>
      <c r="N110" s="1451">
        <f>E19</f>
        <v>0.9</v>
      </c>
      <c r="O110" s="1451">
        <f>F19</f>
        <v>0.9</v>
      </c>
      <c r="P110" s="1451">
        <f>G19</f>
        <v>0.23600000000000002</v>
      </c>
      <c r="Q110" s="1510">
        <f t="shared" si="33"/>
        <v>299.62119975624341</v>
      </c>
      <c r="R110" s="1511">
        <f t="shared" si="34"/>
        <v>209.08498557608095</v>
      </c>
      <c r="S110" s="1511">
        <f t="shared" si="35"/>
        <v>612.28742588956766</v>
      </c>
      <c r="T110" s="1511">
        <f t="shared" si="36"/>
        <v>412.27602311937289</v>
      </c>
      <c r="U110" s="1513">
        <f t="shared" si="37"/>
        <v>0</v>
      </c>
      <c r="V110" s="1511">
        <f t="shared" si="38"/>
        <v>1533.2696343412649</v>
      </c>
      <c r="W110" s="1456">
        <f t="shared" si="87"/>
        <v>0.5</v>
      </c>
      <c r="X110" s="530">
        <f t="shared" si="39"/>
        <v>3033.4882588631699</v>
      </c>
      <c r="Y110" s="1510">
        <f t="shared" si="78"/>
        <v>4566.7578932044344</v>
      </c>
      <c r="Z110" s="1511">
        <f t="shared" si="79"/>
        <v>8437.3186804234101</v>
      </c>
      <c r="AA110" s="1513">
        <f t="shared" si="80"/>
        <v>5539.867831606105</v>
      </c>
      <c r="AB110" s="1091">
        <f t="shared" si="40"/>
        <v>0.65659103815290498</v>
      </c>
      <c r="AC110" s="135" t="str">
        <f t="shared" si="41"/>
        <v>Yes</v>
      </c>
      <c r="AD110" s="1091">
        <f t="shared" si="42"/>
        <v>0.65659103815290498</v>
      </c>
      <c r="AE110" s="649">
        <f t="shared" si="10"/>
        <v>0.29577559635585604</v>
      </c>
      <c r="AF110" s="530">
        <f t="shared" si="43"/>
        <v>298.77645245461935</v>
      </c>
      <c r="AG110" s="528">
        <f t="shared" si="44"/>
        <v>2897.4508488173046</v>
      </c>
      <c r="AH110" s="528">
        <f t="shared" si="81"/>
        <v>9203.7350082886751</v>
      </c>
      <c r="AI110" s="528">
        <f t="shared" si="82"/>
        <v>6437.663217588939</v>
      </c>
      <c r="AJ110" s="528">
        <f t="shared" si="11"/>
        <v>1167.2506234019572</v>
      </c>
      <c r="AK110" s="528">
        <f t="shared" si="45"/>
        <v>19706.099698096874</v>
      </c>
      <c r="AL110" s="716">
        <f t="shared" si="12"/>
        <v>0</v>
      </c>
      <c r="AM110" s="417">
        <f t="shared" si="46"/>
        <v>0.14703319749758129</v>
      </c>
      <c r="AN110" s="417">
        <f t="shared" si="47"/>
        <v>0.4670500580679357</v>
      </c>
      <c r="AO110" s="417">
        <f t="shared" si="48"/>
        <v>0.32668378401691833</v>
      </c>
      <c r="AP110" s="417">
        <f t="shared" si="49"/>
        <v>5.9232960417564769E-2</v>
      </c>
      <c r="AQ110" s="417">
        <f t="shared" si="50"/>
        <v>1.0000000000000002</v>
      </c>
      <c r="AR110" s="1086">
        <f t="shared" si="13"/>
        <v>612.56942184236789</v>
      </c>
      <c r="AS110" s="938">
        <f t="shared" si="14"/>
        <v>776.90374935344244</v>
      </c>
      <c r="AT110" s="938">
        <f t="shared" si="15"/>
        <v>160.57680764265749</v>
      </c>
      <c r="AU110" s="938">
        <f t="shared" si="16"/>
        <v>0</v>
      </c>
      <c r="AV110" s="938">
        <f t="shared" si="17"/>
        <v>0</v>
      </c>
      <c r="AW110" s="938">
        <f t="shared" si="18"/>
        <v>0</v>
      </c>
      <c r="AX110" s="938">
        <f t="shared" si="19"/>
        <v>1121.4148331014696</v>
      </c>
      <c r="AY110" s="938">
        <f t="shared" si="20"/>
        <v>90.329358803422053</v>
      </c>
      <c r="AZ110" s="938">
        <f t="shared" si="21"/>
        <v>25.391606491611508</v>
      </c>
      <c r="BA110" s="938">
        <f t="shared" si="22"/>
        <v>65.581573651025906</v>
      </c>
      <c r="BB110" s="938">
        <f t="shared" si="23"/>
        <v>44.683497931306519</v>
      </c>
      <c r="BC110" s="530">
        <f t="shared" si="51"/>
        <v>2897.4508488173033</v>
      </c>
      <c r="BD110" s="724">
        <f t="shared" si="52"/>
        <v>0</v>
      </c>
      <c r="BE110" s="436">
        <f t="shared" si="53"/>
        <v>0.2114166741059334</v>
      </c>
      <c r="BF110" s="624">
        <f t="shared" si="54"/>
        <v>0.268133538717512</v>
      </c>
      <c r="BG110" s="624">
        <f t="shared" si="55"/>
        <v>5.5420028163101563E-2</v>
      </c>
      <c r="BH110" s="624">
        <f t="shared" si="56"/>
        <v>0</v>
      </c>
      <c r="BI110" s="624">
        <f t="shared" si="57"/>
        <v>0</v>
      </c>
      <c r="BJ110" s="624">
        <f t="shared" si="58"/>
        <v>0</v>
      </c>
      <c r="BK110" s="624">
        <f t="shared" si="59"/>
        <v>0.46502975901345311</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75.235193787836593</v>
      </c>
      <c r="BW110" s="114">
        <f t="shared" si="63"/>
        <v>0.67416545444659792</v>
      </c>
      <c r="BX110" s="1695">
        <f t="shared" si="24"/>
        <v>36.027957214440953</v>
      </c>
      <c r="BY110" s="527">
        <f t="shared" si="64"/>
        <v>75.235193787836593</v>
      </c>
      <c r="BZ110" s="417">
        <f t="shared" si="65"/>
        <v>0.67416545444659792</v>
      </c>
      <c r="CA110" s="544">
        <f t="shared" si="25"/>
        <v>36.027957214440953</v>
      </c>
      <c r="CB110" s="649">
        <f t="shared" si="26"/>
        <v>0.29577559635585604</v>
      </c>
      <c r="CC110" s="525">
        <f t="shared" si="66"/>
        <v>0.30606234123981113</v>
      </c>
      <c r="CD110" s="417">
        <f t="shared" si="27"/>
        <v>0.29577559635585604</v>
      </c>
      <c r="CE110" s="525">
        <f t="shared" si="67"/>
        <v>0.30606234123981113</v>
      </c>
      <c r="CF110" s="1"/>
      <c r="CG110" s="527">
        <f t="shared" si="68"/>
        <v>1747.7903319114196</v>
      </c>
      <c r="CH110" s="528">
        <f t="shared" si="69"/>
        <v>769.63798371563564</v>
      </c>
      <c r="CI110" s="528">
        <f t="shared" si="70"/>
        <v>2931.1632090458033</v>
      </c>
      <c r="CJ110" s="528">
        <f t="shared" si="71"/>
        <v>3710.484208074357</v>
      </c>
      <c r="CK110" s="528">
        <f t="shared" si="72"/>
        <v>44.65927554145869</v>
      </c>
      <c r="CL110" s="528">
        <f t="shared" si="73"/>
        <v>9203.7350082886733</v>
      </c>
      <c r="CM110" s="646">
        <f t="shared" si="74"/>
        <v>0</v>
      </c>
    </row>
    <row r="111" spans="1:91" s="4" customFormat="1">
      <c r="A111" s="150">
        <f>'Input data'!A131</f>
        <v>2031</v>
      </c>
      <c r="B111" s="1508">
        <f>'Input data'!B131</f>
        <v>66.519000000000005</v>
      </c>
      <c r="C111" s="1509">
        <f>'Input data'!C131</f>
        <v>3761.03</v>
      </c>
      <c r="D111" s="1509">
        <f>'Input data'!D131</f>
        <v>35846430.699385166</v>
      </c>
      <c r="E111" s="1457">
        <f>E110</f>
        <v>1</v>
      </c>
      <c r="F111" s="1451">
        <f>F110</f>
        <v>0.37</v>
      </c>
      <c r="G111" s="1556">
        <f>B111*F111*'Input data'!$C$9</f>
        <v>753.30193570058589</v>
      </c>
      <c r="H111" s="1551">
        <f>'Input data'!I131</f>
        <v>424.26313389388866</v>
      </c>
      <c r="I111" s="1559">
        <f>'Input data'!K131</f>
        <v>28221.559403487583</v>
      </c>
      <c r="J111" s="1559">
        <f t="shared" si="86"/>
        <v>2563.1295970306924</v>
      </c>
      <c r="K111" s="1513">
        <f t="shared" si="77"/>
        <v>10551.949692209872</v>
      </c>
      <c r="L111" s="1451">
        <f>L110</f>
        <v>0.7</v>
      </c>
      <c r="M111" s="1451">
        <f t="shared" ref="M111:P126" si="88">M110</f>
        <v>0.6</v>
      </c>
      <c r="N111" s="1451">
        <f t="shared" si="88"/>
        <v>0.9</v>
      </c>
      <c r="O111" s="1451">
        <f t="shared" si="88"/>
        <v>0.9</v>
      </c>
      <c r="P111" s="1451">
        <f t="shared" si="88"/>
        <v>0.23600000000000002</v>
      </c>
      <c r="Q111" s="1510">
        <f t="shared" si="33"/>
        <v>302.17876442758143</v>
      </c>
      <c r="R111" s="1511">
        <f t="shared" si="34"/>
        <v>210.86973369421025</v>
      </c>
      <c r="S111" s="1511">
        <f t="shared" si="35"/>
        <v>617.51390749512029</v>
      </c>
      <c r="T111" s="1511">
        <f t="shared" si="36"/>
        <v>415.79520865239783</v>
      </c>
      <c r="U111" s="1513">
        <f t="shared" si="37"/>
        <v>0</v>
      </c>
      <c r="V111" s="1511">
        <f t="shared" si="38"/>
        <v>1546.3576142693098</v>
      </c>
      <c r="W111" s="1456">
        <f t="shared" si="87"/>
        <v>0.5</v>
      </c>
      <c r="X111" s="530">
        <f t="shared" si="39"/>
        <v>3033.4882588631699</v>
      </c>
      <c r="Y111" s="1510">
        <f t="shared" si="78"/>
        <v>4579.8458731324799</v>
      </c>
      <c r="Z111" s="1511">
        <f t="shared" si="79"/>
        <v>8535.2334161080835</v>
      </c>
      <c r="AA111" s="1513">
        <f t="shared" si="80"/>
        <v>5972.1038190773907</v>
      </c>
      <c r="AB111" s="1091">
        <f t="shared" si="40"/>
        <v>0.69970011690676936</v>
      </c>
      <c r="AC111" s="135" t="str">
        <f t="shared" si="41"/>
        <v>Yes</v>
      </c>
      <c r="AD111" s="1091">
        <f t="shared" si="42"/>
        <v>0.69970011690676936</v>
      </c>
      <c r="AE111" s="649">
        <f t="shared" si="10"/>
        <v>0.31568182082170804</v>
      </c>
      <c r="AF111" s="530">
        <f t="shared" si="43"/>
        <v>290.33097527874179</v>
      </c>
      <c r="AG111" s="528">
        <f t="shared" si="44"/>
        <v>2563.1295970306924</v>
      </c>
      <c r="AH111" s="528">
        <f t="shared" si="81"/>
        <v>9282.2980322693056</v>
      </c>
      <c r="AI111" s="528">
        <f t="shared" si="82"/>
        <v>6437.663217588939</v>
      </c>
      <c r="AJ111" s="528">
        <f t="shared" si="11"/>
        <v>1029.4352976776856</v>
      </c>
      <c r="AK111" s="528">
        <f t="shared" si="45"/>
        <v>19312.526144566626</v>
      </c>
      <c r="AL111" s="716">
        <f t="shared" si="12"/>
        <v>0</v>
      </c>
      <c r="AM111" s="417">
        <f t="shared" si="46"/>
        <v>0.13271850496636359</v>
      </c>
      <c r="AN111" s="417">
        <f t="shared" si="47"/>
        <v>0.48063614064702675</v>
      </c>
      <c r="AO111" s="417">
        <f t="shared" si="48"/>
        <v>0.33334133346403816</v>
      </c>
      <c r="AP111" s="417">
        <f t="shared" si="49"/>
        <v>5.3304020922571353E-2</v>
      </c>
      <c r="AQ111" s="417">
        <f t="shared" si="50"/>
        <v>0.99999999999999989</v>
      </c>
      <c r="AR111" s="1086">
        <f t="shared" si="13"/>
        <v>543.67250190502227</v>
      </c>
      <c r="AS111" s="938">
        <f t="shared" si="14"/>
        <v>689.52381573344292</v>
      </c>
      <c r="AT111" s="938">
        <f t="shared" si="15"/>
        <v>141.61777296290828</v>
      </c>
      <c r="AU111" s="938">
        <f t="shared" si="16"/>
        <v>0</v>
      </c>
      <c r="AV111" s="938">
        <f t="shared" si="17"/>
        <v>0</v>
      </c>
      <c r="AW111" s="938">
        <f t="shared" si="18"/>
        <v>0</v>
      </c>
      <c r="AX111" s="938">
        <f t="shared" si="19"/>
        <v>989.01126235376057</v>
      </c>
      <c r="AY111" s="938">
        <f t="shared" si="20"/>
        <v>79.664322729441466</v>
      </c>
      <c r="AZ111" s="938">
        <f t="shared" si="21"/>
        <v>22.393662049221653</v>
      </c>
      <c r="BA111" s="938">
        <f t="shared" si="22"/>
        <v>57.838467112444945</v>
      </c>
      <c r="BB111" s="938">
        <f t="shared" si="23"/>
        <v>39.407792184450628</v>
      </c>
      <c r="BC111" s="530">
        <f t="shared" si="51"/>
        <v>2563.1295970306928</v>
      </c>
      <c r="BD111" s="724">
        <f t="shared" si="52"/>
        <v>0</v>
      </c>
      <c r="BE111" s="436">
        <f t="shared" si="53"/>
        <v>0.21211276344935903</v>
      </c>
      <c r="BF111" s="624">
        <f t="shared" si="54"/>
        <v>0.26901636832262993</v>
      </c>
      <c r="BG111" s="624">
        <f t="shared" si="55"/>
        <v>5.5251897183415201E-2</v>
      </c>
      <c r="BH111" s="624">
        <f t="shared" si="56"/>
        <v>0</v>
      </c>
      <c r="BI111" s="624">
        <f t="shared" si="57"/>
        <v>0</v>
      </c>
      <c r="BJ111" s="624">
        <f t="shared" si="58"/>
        <v>0</v>
      </c>
      <c r="BK111" s="624">
        <f t="shared" si="59"/>
        <v>0.46361897104459582</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75.17701222946782</v>
      </c>
      <c r="BW111" s="114">
        <f t="shared" si="63"/>
        <v>0.67980919561968878</v>
      </c>
      <c r="BX111" s="1695">
        <f t="shared" si="24"/>
        <v>35.846430699385166</v>
      </c>
      <c r="BY111" s="527">
        <f t="shared" si="64"/>
        <v>75.17701222946782</v>
      </c>
      <c r="BZ111" s="417">
        <f t="shared" si="65"/>
        <v>0.67980919561968878</v>
      </c>
      <c r="CA111" s="544">
        <f t="shared" si="25"/>
        <v>35.846430699385166</v>
      </c>
      <c r="CB111" s="649">
        <f t="shared" si="26"/>
        <v>0.31568182082170804</v>
      </c>
      <c r="CC111" s="525">
        <f t="shared" si="66"/>
        <v>0.31075440256461695</v>
      </c>
      <c r="CD111" s="417">
        <f t="shared" si="27"/>
        <v>0.31568182082170804</v>
      </c>
      <c r="CE111" s="525">
        <f t="shared" si="67"/>
        <v>0.31075440256461695</v>
      </c>
      <c r="CF111"/>
      <c r="CG111" s="527">
        <f t="shared" si="68"/>
        <v>1762.7094591608911</v>
      </c>
      <c r="CH111" s="528">
        <f t="shared" si="69"/>
        <v>776.20760869034461</v>
      </c>
      <c r="CI111" s="528">
        <f t="shared" si="70"/>
        <v>2956.1835997106828</v>
      </c>
      <c r="CJ111" s="528">
        <f t="shared" si="71"/>
        <v>3742.1568778715837</v>
      </c>
      <c r="CK111" s="528">
        <f t="shared" si="72"/>
        <v>45.040486835804039</v>
      </c>
      <c r="CL111" s="528">
        <f t="shared" si="73"/>
        <v>9282.2980322693056</v>
      </c>
      <c r="CM111" s="646">
        <f t="shared" si="74"/>
        <v>0</v>
      </c>
    </row>
    <row r="112" spans="1:91" s="4" customFormat="1">
      <c r="A112" s="150">
        <f>'Input data'!A132</f>
        <v>2032</v>
      </c>
      <c r="B112" s="1508">
        <f>'Input data'!B132</f>
        <v>67.087000000000003</v>
      </c>
      <c r="C112" s="1509">
        <f>'Input data'!C132</f>
        <v>3857.2</v>
      </c>
      <c r="D112" s="1509">
        <f>'Input data'!D132</f>
        <v>35664904.184329376</v>
      </c>
      <c r="E112" s="1457">
        <f t="shared" ref="E112:F127" si="89">E111</f>
        <v>1</v>
      </c>
      <c r="F112" s="1451">
        <f t="shared" si="89"/>
        <v>0.37</v>
      </c>
      <c r="G112" s="1556">
        <f>B112*F112*'Input data'!$C$9</f>
        <v>759.73431591492977</v>
      </c>
      <c r="H112" s="1551">
        <f>'Input data'!I132</f>
        <v>424.26313389388866</v>
      </c>
      <c r="I112" s="1559">
        <f>'Input data'!K132</f>
        <v>28462.540863539311</v>
      </c>
      <c r="J112" s="1559">
        <f>J97*(1-$G$6)</f>
        <v>2228.8083452440806</v>
      </c>
      <c r="K112" s="1513">
        <f t="shared" si="77"/>
        <v>10998.259474135069</v>
      </c>
      <c r="L112" s="1451">
        <f>C20</f>
        <v>0.7</v>
      </c>
      <c r="M112" s="1451">
        <f>D20</f>
        <v>0.6</v>
      </c>
      <c r="N112" s="1451">
        <f t="shared" si="88"/>
        <v>0.9</v>
      </c>
      <c r="O112" s="1451">
        <f t="shared" si="88"/>
        <v>0.9</v>
      </c>
      <c r="P112" s="1451">
        <f t="shared" si="88"/>
        <v>0.23600000000000002</v>
      </c>
      <c r="Q112" s="1510">
        <f t="shared" si="33"/>
        <v>304.75904281713724</v>
      </c>
      <c r="R112" s="1511">
        <f t="shared" si="34"/>
        <v>212.67033215086633</v>
      </c>
      <c r="S112" s="1511">
        <f t="shared" si="35"/>
        <v>622.78680545596171</v>
      </c>
      <c r="T112" s="1511">
        <f t="shared" si="36"/>
        <v>419.34564805338914</v>
      </c>
      <c r="U112" s="1513">
        <f t="shared" si="37"/>
        <v>0</v>
      </c>
      <c r="V112" s="1511">
        <f t="shared" si="38"/>
        <v>1559.5618284773545</v>
      </c>
      <c r="W112" s="1456">
        <f t="shared" si="87"/>
        <v>0.5</v>
      </c>
      <c r="X112" s="530">
        <f t="shared" si="39"/>
        <v>3033.4882588631699</v>
      </c>
      <c r="Y112" s="1510">
        <f t="shared" si="78"/>
        <v>4593.0500873405244</v>
      </c>
      <c r="Z112" s="1511">
        <f t="shared" si="79"/>
        <v>8634.0177320386247</v>
      </c>
      <c r="AA112" s="1513">
        <f t="shared" si="80"/>
        <v>6405.2093867945441</v>
      </c>
      <c r="AB112" s="1091">
        <f t="shared" si="40"/>
        <v>0.74185733520403319</v>
      </c>
      <c r="AC112" s="135" t="str">
        <f t="shared" si="41"/>
        <v>Yes</v>
      </c>
      <c r="AD112" s="1091">
        <f t="shared" si="42"/>
        <v>0.74185733520403319</v>
      </c>
      <c r="AE112" s="649">
        <f t="shared" si="10"/>
        <v>0.33524888005816689</v>
      </c>
      <c r="AF112" s="530">
        <f t="shared" si="43"/>
        <v>282.02939340599443</v>
      </c>
      <c r="AG112" s="528">
        <f t="shared" si="44"/>
        <v>2228.8083452440806</v>
      </c>
      <c r="AH112" s="528">
        <f t="shared" si="81"/>
        <v>9361.5587740472802</v>
      </c>
      <c r="AI112" s="528">
        <f t="shared" si="82"/>
        <v>6437.663217588939</v>
      </c>
      <c r="AJ112" s="528">
        <f t="shared" si="11"/>
        <v>892.47557854764841</v>
      </c>
      <c r="AK112" s="528">
        <f t="shared" si="45"/>
        <v>18920.505915427948</v>
      </c>
      <c r="AL112" s="716">
        <f t="shared" si="12"/>
        <v>0</v>
      </c>
      <c r="AM112" s="417">
        <f t="shared" si="46"/>
        <v>0.11779855967945818</v>
      </c>
      <c r="AN112" s="417">
        <f t="shared" si="47"/>
        <v>0.49478374499562311</v>
      </c>
      <c r="AO112" s="417">
        <f t="shared" si="48"/>
        <v>0.34024794296539457</v>
      </c>
      <c r="AP112" s="417">
        <f t="shared" si="49"/>
        <v>4.716975235952417E-2</v>
      </c>
      <c r="AQ112" s="417">
        <f t="shared" si="50"/>
        <v>1.0000000000000002</v>
      </c>
      <c r="AR112" s="1086">
        <f t="shared" si="13"/>
        <v>474.28826664214523</v>
      </c>
      <c r="AS112" s="938">
        <f t="shared" si="14"/>
        <v>601.52583444403103</v>
      </c>
      <c r="AT112" s="938">
        <f t="shared" si="15"/>
        <v>122.77644271847545</v>
      </c>
      <c r="AU112" s="938">
        <f t="shared" si="16"/>
        <v>0</v>
      </c>
      <c r="AV112" s="938">
        <f t="shared" si="17"/>
        <v>0</v>
      </c>
      <c r="AW112" s="938">
        <f t="shared" si="18"/>
        <v>0</v>
      </c>
      <c r="AX112" s="938">
        <f t="shared" si="19"/>
        <v>857.42970009920373</v>
      </c>
      <c r="AY112" s="938">
        <f t="shared" si="20"/>
        <v>69.065498995377979</v>
      </c>
      <c r="AZ112" s="938">
        <f t="shared" si="21"/>
        <v>19.414329912978349</v>
      </c>
      <c r="BA112" s="938">
        <f t="shared" si="22"/>
        <v>50.143432535232996</v>
      </c>
      <c r="BB112" s="938">
        <f t="shared" si="23"/>
        <v>34.164839896635144</v>
      </c>
      <c r="BC112" s="530">
        <f t="shared" si="51"/>
        <v>2228.8083452440796</v>
      </c>
      <c r="BD112" s="724">
        <f t="shared" si="52"/>
        <v>0</v>
      </c>
      <c r="BE112" s="436">
        <f t="shared" si="53"/>
        <v>0.21279903570632283</v>
      </c>
      <c r="BF112" s="624">
        <f t="shared" si="54"/>
        <v>0.26988674720623285</v>
      </c>
      <c r="BG112" s="624">
        <f t="shared" si="55"/>
        <v>5.5086137388376498E-2</v>
      </c>
      <c r="BH112" s="624">
        <f t="shared" si="56"/>
        <v>0</v>
      </c>
      <c r="BI112" s="624">
        <f t="shared" si="57"/>
        <v>0</v>
      </c>
      <c r="BJ112" s="624">
        <f t="shared" si="58"/>
        <v>0</v>
      </c>
      <c r="BK112" s="624">
        <f t="shared" si="59"/>
        <v>0.46222807969906798</v>
      </c>
      <c r="BL112" s="624">
        <f t="shared" si="60"/>
        <v>1.0000000000000002</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75.096103015028518</v>
      </c>
      <c r="BW112" s="114">
        <f t="shared" si="63"/>
        <v>0.68536648498107522</v>
      </c>
      <c r="BX112" s="1695">
        <f t="shared" si="24"/>
        <v>35.664904184329373</v>
      </c>
      <c r="BY112" s="527">
        <f t="shared" si="64"/>
        <v>75.096103015028518</v>
      </c>
      <c r="BZ112" s="417">
        <f t="shared" si="65"/>
        <v>0.68536648498107522</v>
      </c>
      <c r="CA112" s="544">
        <f t="shared" si="25"/>
        <v>35.664904184329373</v>
      </c>
      <c r="CB112" s="649">
        <f t="shared" si="26"/>
        <v>0.33524888005816689</v>
      </c>
      <c r="CC112" s="525">
        <f t="shared" si="66"/>
        <v>0.31514902690029456</v>
      </c>
      <c r="CD112" s="417">
        <f t="shared" si="27"/>
        <v>0.33524888005816689</v>
      </c>
      <c r="CE112" s="525">
        <f t="shared" si="67"/>
        <v>0.31514902690029456</v>
      </c>
      <c r="CF112"/>
      <c r="CG112" s="527">
        <f t="shared" si="68"/>
        <v>1777.761083099967</v>
      </c>
      <c r="CH112" s="528">
        <f t="shared" si="69"/>
        <v>782.835578469447</v>
      </c>
      <c r="CI112" s="528">
        <f t="shared" si="70"/>
        <v>2981.4261963317331</v>
      </c>
      <c r="CJ112" s="528">
        <f t="shared" si="71"/>
        <v>3774.1108324805082</v>
      </c>
      <c r="CK112" s="528">
        <f t="shared" si="72"/>
        <v>45.425083665623134</v>
      </c>
      <c r="CL112" s="528">
        <f t="shared" si="73"/>
        <v>9361.5587740472783</v>
      </c>
      <c r="CM112" s="646">
        <f t="shared" si="74"/>
        <v>0</v>
      </c>
    </row>
    <row r="113" spans="1:91">
      <c r="A113" s="873">
        <f>'Input data'!A133</f>
        <v>2033</v>
      </c>
      <c r="B113" s="1553">
        <f>'Input data'!B133</f>
        <v>67.659000000000006</v>
      </c>
      <c r="C113" s="1552">
        <f>'Input data'!C133</f>
        <v>3964.01</v>
      </c>
      <c r="D113" s="1552">
        <f>'Input data'!D133</f>
        <v>35483377.6692736</v>
      </c>
      <c r="E113" s="1457">
        <f t="shared" si="89"/>
        <v>1</v>
      </c>
      <c r="F113" s="1451">
        <f t="shared" si="89"/>
        <v>0.37</v>
      </c>
      <c r="G113" s="1556">
        <f>B113*F113*'Input data'!$C$9</f>
        <v>766.21199458148715</v>
      </c>
      <c r="H113" s="1544">
        <f>'Input data'!I133</f>
        <v>424.26313389388866</v>
      </c>
      <c r="I113" s="1511">
        <f>'Input data'!K133</f>
        <v>28705.219376126617</v>
      </c>
      <c r="J113" s="1511">
        <f>J112</f>
        <v>2228.8083452440806</v>
      </c>
      <c r="K113" s="1513">
        <f t="shared" si="77"/>
        <v>11111.036655894351</v>
      </c>
      <c r="L113" s="1506">
        <f t="shared" ref="L113:P127" si="90">L112</f>
        <v>0.7</v>
      </c>
      <c r="M113" s="1506">
        <f t="shared" si="88"/>
        <v>0.6</v>
      </c>
      <c r="N113" s="1506">
        <f t="shared" si="88"/>
        <v>0.9</v>
      </c>
      <c r="O113" s="1506">
        <f t="shared" si="88"/>
        <v>0.9</v>
      </c>
      <c r="P113" s="1506">
        <f t="shared" si="88"/>
        <v>0.23600000000000002</v>
      </c>
      <c r="Q113" s="1510">
        <f t="shared" si="33"/>
        <v>307.35749218126739</v>
      </c>
      <c r="R113" s="1511">
        <f t="shared" si="34"/>
        <v>214.48361087834405</v>
      </c>
      <c r="S113" s="1511">
        <f t="shared" si="35"/>
        <v>628.09683650103489</v>
      </c>
      <c r="T113" s="1511">
        <f t="shared" si="36"/>
        <v>422.92109054875436</v>
      </c>
      <c r="U113" s="1513">
        <f t="shared" si="37"/>
        <v>0</v>
      </c>
      <c r="V113" s="1511">
        <f t="shared" si="38"/>
        <v>1572.8590301094007</v>
      </c>
      <c r="W113" s="1456">
        <f t="shared" si="87"/>
        <v>0.5</v>
      </c>
      <c r="X113" s="530">
        <f t="shared" si="39"/>
        <v>3033.4882588631699</v>
      </c>
      <c r="Y113" s="1510">
        <f t="shared" si="78"/>
        <v>4606.3472889725708</v>
      </c>
      <c r="Z113" s="1511">
        <f t="shared" si="79"/>
        <v>8733.4977121658612</v>
      </c>
      <c r="AA113" s="1513">
        <f t="shared" si="80"/>
        <v>6504.6893669217807</v>
      </c>
      <c r="AB113" s="1091">
        <f t="shared" si="40"/>
        <v>0.74479774098534135</v>
      </c>
      <c r="AC113" s="135" t="str">
        <f t="shared" si="41"/>
        <v>Yes</v>
      </c>
      <c r="AD113" s="1091">
        <f t="shared" si="42"/>
        <v>0.74479774098534135</v>
      </c>
      <c r="AE113" s="649">
        <f t="shared" si="10"/>
        <v>0.33818022722904584</v>
      </c>
      <c r="AF113" s="530">
        <f t="shared" si="43"/>
        <v>280.78573086874633</v>
      </c>
      <c r="AG113" s="528">
        <f t="shared" si="44"/>
        <v>2228.8083452440806</v>
      </c>
      <c r="AH113" s="528">
        <f t="shared" si="81"/>
        <v>9441.3776900631256</v>
      </c>
      <c r="AI113" s="528">
        <f t="shared" si="82"/>
        <v>6437.663217588939</v>
      </c>
      <c r="AJ113" s="528">
        <f t="shared" si="11"/>
        <v>889.83251195236335</v>
      </c>
      <c r="AK113" s="528">
        <f t="shared" si="45"/>
        <v>18997.681764848508</v>
      </c>
      <c r="AL113" s="716">
        <f t="shared" si="12"/>
        <v>0</v>
      </c>
      <c r="AM113" s="417">
        <f t="shared" si="46"/>
        <v>0.11732001687532498</v>
      </c>
      <c r="AN113" s="417">
        <f t="shared" si="47"/>
        <v>0.49697525239803453</v>
      </c>
      <c r="AO113" s="417">
        <f t="shared" si="48"/>
        <v>0.33886572568557155</v>
      </c>
      <c r="AP113" s="417">
        <f t="shared" si="49"/>
        <v>4.6839005041068971E-2</v>
      </c>
      <c r="AQ113" s="417">
        <f t="shared" si="50"/>
        <v>1</v>
      </c>
      <c r="AR113" s="1086">
        <f t="shared" si="13"/>
        <v>475.79363939985905</v>
      </c>
      <c r="AS113" s="938">
        <f t="shared" si="14"/>
        <v>603.43505435926102</v>
      </c>
      <c r="AT113" s="938">
        <f t="shared" si="15"/>
        <v>122.41284026005837</v>
      </c>
      <c r="AU113" s="938">
        <f t="shared" si="16"/>
        <v>0</v>
      </c>
      <c r="AV113" s="938">
        <f t="shared" si="17"/>
        <v>0</v>
      </c>
      <c r="AW113" s="938">
        <f t="shared" si="18"/>
        <v>0</v>
      </c>
      <c r="AX113" s="938">
        <f t="shared" si="19"/>
        <v>854.89042187959649</v>
      </c>
      <c r="AY113" s="938">
        <f t="shared" si="20"/>
        <v>68.860961506992666</v>
      </c>
      <c r="AZ113" s="938">
        <f t="shared" si="21"/>
        <v>19.356834371255687</v>
      </c>
      <c r="BA113" s="938">
        <f t="shared" si="22"/>
        <v>49.994932750261206</v>
      </c>
      <c r="BB113" s="938">
        <f t="shared" si="23"/>
        <v>34.063660716795845</v>
      </c>
      <c r="BC113" s="530">
        <f t="shared" si="51"/>
        <v>2228.8083452440806</v>
      </c>
      <c r="BD113" s="724">
        <f t="shared" si="52"/>
        <v>0</v>
      </c>
      <c r="BE113" s="436">
        <f t="shared" si="53"/>
        <v>0.21347445167958309</v>
      </c>
      <c r="BF113" s="624">
        <f t="shared" si="54"/>
        <v>0.27074335738507738</v>
      </c>
      <c r="BG113" s="624">
        <f t="shared" si="55"/>
        <v>5.4922999782043951E-2</v>
      </c>
      <c r="BH113" s="624">
        <f t="shared" si="56"/>
        <v>0</v>
      </c>
      <c r="BI113" s="624">
        <f t="shared" si="57"/>
        <v>0</v>
      </c>
      <c r="BJ113" s="624">
        <f t="shared" si="58"/>
        <v>0</v>
      </c>
      <c r="BK113" s="624">
        <f t="shared" si="59"/>
        <v>0.46085919115329549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75.538894020945236</v>
      </c>
      <c r="BW113" s="114">
        <f t="shared" si="63"/>
        <v>0.68865264375876378</v>
      </c>
      <c r="BX113" s="1695">
        <f t="shared" si="24"/>
        <v>35.483377669273601</v>
      </c>
      <c r="BY113" s="527">
        <f t="shared" si="64"/>
        <v>75.538894020945236</v>
      </c>
      <c r="BZ113" s="417">
        <f t="shared" si="65"/>
        <v>0.68865264375876378</v>
      </c>
      <c r="CA113" s="544">
        <f t="shared" si="25"/>
        <v>35.483377669273601</v>
      </c>
      <c r="CB113" s="649">
        <f t="shared" si="26"/>
        <v>0.33818022722904584</v>
      </c>
      <c r="CC113" s="525">
        <f t="shared" si="66"/>
        <v>0.31983179296666453</v>
      </c>
      <c r="CD113" s="417">
        <f t="shared" si="27"/>
        <v>0.33818022722904584</v>
      </c>
      <c r="CE113" s="525">
        <f t="shared" si="67"/>
        <v>0.31983179296666453</v>
      </c>
      <c r="CG113" s="527">
        <f t="shared" si="68"/>
        <v>1792.9187043907264</v>
      </c>
      <c r="CH113" s="528">
        <f t="shared" si="69"/>
        <v>789.51022409206428</v>
      </c>
      <c r="CI113" s="528">
        <f t="shared" si="70"/>
        <v>3006.8465577177208</v>
      </c>
      <c r="CJ113" s="528">
        <f t="shared" si="71"/>
        <v>3806.289814938792</v>
      </c>
      <c r="CK113" s="528">
        <f t="shared" si="72"/>
        <v>45.812388923821253</v>
      </c>
      <c r="CL113" s="528">
        <f t="shared" si="73"/>
        <v>9441.3776900631256</v>
      </c>
      <c r="CM113" s="646">
        <f t="shared" si="74"/>
        <v>0</v>
      </c>
    </row>
    <row r="114" spans="1:91">
      <c r="A114" s="873">
        <f>'Input data'!A134</f>
        <v>2034</v>
      </c>
      <c r="B114" s="1553">
        <f>'Input data'!B134</f>
        <v>68.236999999999995</v>
      </c>
      <c r="C114" s="1552">
        <f>'Input data'!C134</f>
        <v>4078.22</v>
      </c>
      <c r="D114" s="1552">
        <f>'Input data'!D134</f>
        <v>35301851.154217809</v>
      </c>
      <c r="E114" s="1457">
        <f t="shared" si="89"/>
        <v>1</v>
      </c>
      <c r="F114" s="1451">
        <f t="shared" si="89"/>
        <v>0.37</v>
      </c>
      <c r="G114" s="1556">
        <f>B114*F114*'Input data'!$C$9</f>
        <v>772.75762092636501</v>
      </c>
      <c r="H114" s="1544">
        <f>'Input data'!I134</f>
        <v>424.26313389388866</v>
      </c>
      <c r="I114" s="1511">
        <f>'Input data'!K134</f>
        <v>28950.443467517278</v>
      </c>
      <c r="J114" s="1511">
        <f t="shared" ref="J114:J130" si="91">J113</f>
        <v>2228.8083452440806</v>
      </c>
      <c r="K114" s="1513">
        <f t="shared" si="77"/>
        <v>11224.996815084671</v>
      </c>
      <c r="L114" s="1506">
        <f t="shared" si="90"/>
        <v>0.7</v>
      </c>
      <c r="M114" s="1506">
        <f t="shared" si="88"/>
        <v>0.6</v>
      </c>
      <c r="N114" s="1506">
        <f t="shared" si="88"/>
        <v>0.9</v>
      </c>
      <c r="O114" s="1506">
        <f t="shared" si="88"/>
        <v>0.9</v>
      </c>
      <c r="P114" s="1506">
        <f t="shared" si="88"/>
        <v>0.23600000000000002</v>
      </c>
      <c r="Q114" s="1510">
        <f t="shared" si="33"/>
        <v>309.98319800725903</v>
      </c>
      <c r="R114" s="1511">
        <f t="shared" si="34"/>
        <v>216.31591001205413</v>
      </c>
      <c r="S114" s="1511">
        <f t="shared" si="35"/>
        <v>633.46256717245433</v>
      </c>
      <c r="T114" s="1511">
        <f t="shared" si="36"/>
        <v>426.53403768567887</v>
      </c>
      <c r="U114" s="1513">
        <f t="shared" si="37"/>
        <v>0</v>
      </c>
      <c r="V114" s="1511">
        <f t="shared" si="38"/>
        <v>1586.2957128774465</v>
      </c>
      <c r="W114" s="1456">
        <f t="shared" si="87"/>
        <v>0.5</v>
      </c>
      <c r="X114" s="530">
        <f t="shared" si="39"/>
        <v>3033.4882588631699</v>
      </c>
      <c r="Y114" s="1510">
        <f t="shared" si="78"/>
        <v>4619.7839717406168</v>
      </c>
      <c r="Z114" s="1511">
        <f t="shared" si="79"/>
        <v>8834.0211885881345</v>
      </c>
      <c r="AA114" s="1513">
        <f t="shared" si="80"/>
        <v>6605.2128433440539</v>
      </c>
      <c r="AB114" s="1091">
        <f t="shared" si="40"/>
        <v>0.74770172069280583</v>
      </c>
      <c r="AC114" s="135" t="str">
        <f t="shared" si="41"/>
        <v>Yes</v>
      </c>
      <c r="AD114" s="1091">
        <f t="shared" si="42"/>
        <v>0.74770172069280583</v>
      </c>
      <c r="AE114" s="649">
        <f t="shared" si="10"/>
        <v>0.34109031387957867</v>
      </c>
      <c r="AF114" s="530">
        <f t="shared" si="43"/>
        <v>279.55108838648846</v>
      </c>
      <c r="AG114" s="528">
        <f t="shared" si="44"/>
        <v>2228.8083452440806</v>
      </c>
      <c r="AH114" s="528">
        <f t="shared" si="81"/>
        <v>9522.0338674357772</v>
      </c>
      <c r="AI114" s="528">
        <f t="shared" si="82"/>
        <v>6437.663217588939</v>
      </c>
      <c r="AJ114" s="528">
        <f t="shared" si="11"/>
        <v>887.22218796001607</v>
      </c>
      <c r="AK114" s="528">
        <f t="shared" si="45"/>
        <v>19075.727618228811</v>
      </c>
      <c r="AL114" s="716">
        <f t="shared" si="12"/>
        <v>0</v>
      </c>
      <c r="AM114" s="417">
        <f t="shared" si="46"/>
        <v>0.11684001731678251</v>
      </c>
      <c r="AN114" s="417">
        <f t="shared" si="47"/>
        <v>0.49917015266754483</v>
      </c>
      <c r="AO114" s="417">
        <f t="shared" si="48"/>
        <v>0.33747930073383375</v>
      </c>
      <c r="AP114" s="417">
        <f t="shared" si="49"/>
        <v>4.6510529281838998E-2</v>
      </c>
      <c r="AQ114" s="417">
        <f t="shared" si="50"/>
        <v>1.0000000000000002</v>
      </c>
      <c r="AR114" s="1086">
        <f t="shared" si="13"/>
        <v>477.2803634324261</v>
      </c>
      <c r="AS114" s="938">
        <f t="shared" si="14"/>
        <v>605.32062264584192</v>
      </c>
      <c r="AT114" s="938">
        <f t="shared" si="15"/>
        <v>122.05374214933514</v>
      </c>
      <c r="AU114" s="938">
        <f t="shared" si="16"/>
        <v>0</v>
      </c>
      <c r="AV114" s="938">
        <f t="shared" si="17"/>
        <v>0</v>
      </c>
      <c r="AW114" s="938">
        <f t="shared" si="18"/>
        <v>0</v>
      </c>
      <c r="AX114" s="938">
        <f t="shared" si="19"/>
        <v>852.38260052098587</v>
      </c>
      <c r="AY114" s="938">
        <f t="shared" si="20"/>
        <v>68.658957851761571</v>
      </c>
      <c r="AZ114" s="938">
        <f t="shared" si="21"/>
        <v>19.300051090698485</v>
      </c>
      <c r="BA114" s="938">
        <f t="shared" si="22"/>
        <v>49.848272597141516</v>
      </c>
      <c r="BB114" s="938">
        <f t="shared" si="23"/>
        <v>33.963734955889294</v>
      </c>
      <c r="BC114" s="530">
        <f t="shared" si="51"/>
        <v>2228.8083452440801</v>
      </c>
      <c r="BD114" s="724">
        <f t="shared" si="52"/>
        <v>0</v>
      </c>
      <c r="BE114" s="436">
        <f t="shared" si="53"/>
        <v>0.21414150052464848</v>
      </c>
      <c r="BF114" s="624">
        <f t="shared" si="54"/>
        <v>0.27158935578175625</v>
      </c>
      <c r="BG114" s="624">
        <f t="shared" si="55"/>
        <v>5.4761883142522443E-2</v>
      </c>
      <c r="BH114" s="624">
        <f t="shared" si="56"/>
        <v>0</v>
      </c>
      <c r="BI114" s="624">
        <f t="shared" si="57"/>
        <v>0</v>
      </c>
      <c r="BJ114" s="624">
        <f t="shared" si="58"/>
        <v>0</v>
      </c>
      <c r="BK114" s="624">
        <f t="shared" si="59"/>
        <v>0.45950726055107272</v>
      </c>
      <c r="BL114" s="624">
        <f t="shared" si="60"/>
        <v>0.99999999999999989</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76.020462046732973</v>
      </c>
      <c r="BW114" s="114">
        <f t="shared" si="63"/>
        <v>0.69205765911572981</v>
      </c>
      <c r="BX114" s="1695">
        <f t="shared" si="24"/>
        <v>35.301851154217808</v>
      </c>
      <c r="BY114" s="527">
        <f t="shared" si="64"/>
        <v>76.020462046732973</v>
      </c>
      <c r="BZ114" s="417">
        <f t="shared" si="65"/>
        <v>0.69205765911572981</v>
      </c>
      <c r="CA114" s="544">
        <f t="shared" si="25"/>
        <v>35.301851154217808</v>
      </c>
      <c r="CB114" s="649">
        <f t="shared" si="26"/>
        <v>0.34109031387957867</v>
      </c>
      <c r="CC114" s="525">
        <f t="shared" si="66"/>
        <v>0.324655091654937</v>
      </c>
      <c r="CD114" s="417">
        <f t="shared" si="27"/>
        <v>0.34109031387957867</v>
      </c>
      <c r="CE114" s="525">
        <f t="shared" si="67"/>
        <v>0.324655091654937</v>
      </c>
      <c r="CG114" s="527">
        <f t="shared" si="68"/>
        <v>1808.2353217090108</v>
      </c>
      <c r="CH114" s="528">
        <f t="shared" si="69"/>
        <v>796.25488347995372</v>
      </c>
      <c r="CI114" s="528">
        <f t="shared" si="70"/>
        <v>3032.5335662511134</v>
      </c>
      <c r="CJ114" s="528">
        <f t="shared" si="71"/>
        <v>3838.8063391711125</v>
      </c>
      <c r="CK114" s="528">
        <f t="shared" si="72"/>
        <v>46.203756824587849</v>
      </c>
      <c r="CL114" s="528">
        <f t="shared" si="73"/>
        <v>9522.033867435779</v>
      </c>
      <c r="CM114" s="646">
        <f t="shared" si="74"/>
        <v>0</v>
      </c>
    </row>
    <row r="115" spans="1:91">
      <c r="A115" s="873">
        <f>'Input data'!A135</f>
        <v>2035</v>
      </c>
      <c r="B115" s="1553">
        <f>'Input data'!B135</f>
        <v>68.819000000000003</v>
      </c>
      <c r="C115" s="1552">
        <f>'Input data'!C135</f>
        <v>4200.2899999999991</v>
      </c>
      <c r="D115" s="1552">
        <f>'Input data'!D135</f>
        <v>35120324.639162026</v>
      </c>
      <c r="E115" s="1457">
        <f t="shared" si="89"/>
        <v>1</v>
      </c>
      <c r="F115" s="1451">
        <f t="shared" si="89"/>
        <v>0.37</v>
      </c>
      <c r="G115" s="1556">
        <f>B115*F115*'Input data'!$C$9</f>
        <v>779.34854572345671</v>
      </c>
      <c r="H115" s="1544">
        <f>'Input data'!I135</f>
        <v>424.26313389388866</v>
      </c>
      <c r="I115" s="1511">
        <f>'Input data'!K135</f>
        <v>29197.364611443525</v>
      </c>
      <c r="J115" s="1511">
        <f t="shared" si="91"/>
        <v>2228.8083452440806</v>
      </c>
      <c r="K115" s="1513">
        <f t="shared" si="77"/>
        <v>11339.74562589569</v>
      </c>
      <c r="L115" s="1506">
        <f t="shared" si="90"/>
        <v>0.7</v>
      </c>
      <c r="M115" s="1506">
        <f t="shared" si="88"/>
        <v>0.6</v>
      </c>
      <c r="N115" s="1506">
        <f t="shared" si="88"/>
        <v>0.9</v>
      </c>
      <c r="O115" s="1506">
        <f t="shared" si="88"/>
        <v>0.9</v>
      </c>
      <c r="P115" s="1506">
        <f t="shared" si="88"/>
        <v>0.23600000000000002</v>
      </c>
      <c r="Q115" s="1510">
        <f t="shared" si="33"/>
        <v>312.62707480782501</v>
      </c>
      <c r="R115" s="1511">
        <f t="shared" si="34"/>
        <v>218.16088941658552</v>
      </c>
      <c r="S115" s="1511">
        <f t="shared" si="35"/>
        <v>638.86543092810552</v>
      </c>
      <c r="T115" s="1511">
        <f t="shared" si="36"/>
        <v>430.17198791697683</v>
      </c>
      <c r="U115" s="1513">
        <f t="shared" si="37"/>
        <v>0</v>
      </c>
      <c r="V115" s="1511">
        <f t="shared" si="38"/>
        <v>1599.825383069493</v>
      </c>
      <c r="W115" s="1456">
        <f t="shared" si="87"/>
        <v>0.5</v>
      </c>
      <c r="X115" s="530">
        <f t="shared" si="39"/>
        <v>3033.4882588631699</v>
      </c>
      <c r="Y115" s="1510">
        <f t="shared" si="78"/>
        <v>4633.3136419326629</v>
      </c>
      <c r="Z115" s="1511">
        <f t="shared" si="79"/>
        <v>8935.2403292071067</v>
      </c>
      <c r="AA115" s="1513">
        <f t="shared" si="80"/>
        <v>6706.4319839630261</v>
      </c>
      <c r="AB115" s="1091">
        <f t="shared" si="40"/>
        <v>0.75055977644399186</v>
      </c>
      <c r="AC115" s="135" t="str">
        <f t="shared" si="41"/>
        <v>Yes</v>
      </c>
      <c r="AD115" s="1091">
        <f t="shared" si="42"/>
        <v>0.75055977644399186</v>
      </c>
      <c r="AE115" s="649">
        <f t="shared" si="10"/>
        <v>0.3439691156789576</v>
      </c>
      <c r="AF115" s="530">
        <f t="shared" si="43"/>
        <v>278.32971891322461</v>
      </c>
      <c r="AG115" s="528">
        <f t="shared" si="44"/>
        <v>2228.8083452440806</v>
      </c>
      <c r="AH115" s="528">
        <f t="shared" si="81"/>
        <v>9603.2482190463088</v>
      </c>
      <c r="AI115" s="528">
        <f t="shared" si="82"/>
        <v>6437.663217588939</v>
      </c>
      <c r="AJ115" s="528">
        <f t="shared" si="11"/>
        <v>884.65314400987734</v>
      </c>
      <c r="AK115" s="528">
        <f t="shared" si="45"/>
        <v>19154.372925889205</v>
      </c>
      <c r="AL115" s="716">
        <f t="shared" si="12"/>
        <v>0</v>
      </c>
      <c r="AM115" s="417">
        <f t="shared" si="46"/>
        <v>0.11636028774565652</v>
      </c>
      <c r="AN115" s="417">
        <f t="shared" si="47"/>
        <v>0.50136061651313479</v>
      </c>
      <c r="AO115" s="417">
        <f t="shared" si="48"/>
        <v>0.33609365561050247</v>
      </c>
      <c r="AP115" s="417">
        <f t="shared" si="49"/>
        <v>4.6185440130706287E-2</v>
      </c>
      <c r="AQ115" s="417">
        <f t="shared" si="50"/>
        <v>1</v>
      </c>
      <c r="AR115" s="1086">
        <f t="shared" si="13"/>
        <v>478.74357619551222</v>
      </c>
      <c r="AS115" s="938">
        <f t="shared" si="14"/>
        <v>607.17637228206172</v>
      </c>
      <c r="AT115" s="938">
        <f t="shared" si="15"/>
        <v>121.70032286821744</v>
      </c>
      <c r="AU115" s="938">
        <f t="shared" si="16"/>
        <v>0</v>
      </c>
      <c r="AV115" s="938">
        <f t="shared" si="17"/>
        <v>0</v>
      </c>
      <c r="AW115" s="938">
        <f t="shared" si="18"/>
        <v>0</v>
      </c>
      <c r="AX115" s="938">
        <f t="shared" si="19"/>
        <v>849.91443821306746</v>
      </c>
      <c r="AY115" s="938">
        <f t="shared" si="20"/>
        <v>68.460148711632399</v>
      </c>
      <c r="AZ115" s="938">
        <f t="shared" si="21"/>
        <v>19.244165789175604</v>
      </c>
      <c r="BA115" s="938">
        <f t="shared" si="22"/>
        <v>49.70393174895441</v>
      </c>
      <c r="BB115" s="938">
        <f t="shared" si="23"/>
        <v>33.865389435458646</v>
      </c>
      <c r="BC115" s="530">
        <f t="shared" si="51"/>
        <v>2228.8083452440801</v>
      </c>
      <c r="BD115" s="724">
        <f t="shared" si="52"/>
        <v>0</v>
      </c>
      <c r="BE115" s="436">
        <f t="shared" si="53"/>
        <v>0.21479800056253123</v>
      </c>
      <c r="BF115" s="624">
        <f t="shared" si="54"/>
        <v>0.27242197543708896</v>
      </c>
      <c r="BG115" s="624">
        <f t="shared" si="55"/>
        <v>5.4603314424906221E-2</v>
      </c>
      <c r="BH115" s="624">
        <f t="shared" si="56"/>
        <v>0</v>
      </c>
      <c r="BI115" s="624">
        <f t="shared" si="57"/>
        <v>0</v>
      </c>
      <c r="BJ115" s="624">
        <f t="shared" si="58"/>
        <v>0</v>
      </c>
      <c r="BK115" s="624">
        <f t="shared" si="59"/>
        <v>0.45817670957547346</v>
      </c>
      <c r="BL115" s="624">
        <f t="shared" si="60"/>
        <v>0.99999999999999978</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76.542892924782237</v>
      </c>
      <c r="BW115" s="114">
        <f t="shared" si="63"/>
        <v>0.69558240826305195</v>
      </c>
      <c r="BX115" s="1695">
        <f t="shared" si="24"/>
        <v>35.120324639162028</v>
      </c>
      <c r="BY115" s="527">
        <f t="shared" si="64"/>
        <v>76.542892924782237</v>
      </c>
      <c r="BZ115" s="417">
        <f t="shared" si="65"/>
        <v>0.69558240826305195</v>
      </c>
      <c r="CA115" s="544">
        <f t="shared" si="25"/>
        <v>35.120324639162028</v>
      </c>
      <c r="CB115" s="649">
        <f t="shared" si="26"/>
        <v>0.3439691156789576</v>
      </c>
      <c r="CC115" s="525">
        <f t="shared" si="66"/>
        <v>0.32961379341442587</v>
      </c>
      <c r="CD115" s="417">
        <f t="shared" si="27"/>
        <v>0.3439691156789576</v>
      </c>
      <c r="CE115" s="525">
        <f t="shared" si="67"/>
        <v>0.32961379341442587</v>
      </c>
      <c r="CG115" s="527">
        <f t="shared" si="68"/>
        <v>1823.6579363789797</v>
      </c>
      <c r="CH115" s="528">
        <f t="shared" si="69"/>
        <v>803.04621871135794</v>
      </c>
      <c r="CI115" s="528">
        <f t="shared" si="70"/>
        <v>3058.3983395494442</v>
      </c>
      <c r="CJ115" s="528">
        <f t="shared" si="71"/>
        <v>3871.5478912527924</v>
      </c>
      <c r="CK115" s="528">
        <f t="shared" si="72"/>
        <v>46.59783315373349</v>
      </c>
      <c r="CL115" s="528">
        <f t="shared" si="73"/>
        <v>9603.2482190463088</v>
      </c>
      <c r="CM115" s="646">
        <f t="shared" si="74"/>
        <v>0</v>
      </c>
    </row>
    <row r="116" spans="1:91">
      <c r="A116" s="873">
        <f>'Input data'!A136</f>
        <v>2036</v>
      </c>
      <c r="B116" s="1553">
        <f>'Input data'!B136</f>
        <v>69.322999999999993</v>
      </c>
      <c r="C116" s="1552">
        <f>'Input data'!C136</f>
        <v>4325.9699999999993</v>
      </c>
      <c r="D116" s="1552">
        <f>'Input data'!D136</f>
        <v>32285395.803631678</v>
      </c>
      <c r="E116" s="1457">
        <f t="shared" si="89"/>
        <v>1</v>
      </c>
      <c r="F116" s="1451">
        <f t="shared" si="89"/>
        <v>0.37</v>
      </c>
      <c r="G116" s="1556">
        <f>B116*F116*'Input data'!$C$9</f>
        <v>785.05615070238139</v>
      </c>
      <c r="H116" s="1544">
        <f>'Input data'!I136</f>
        <v>424.26313389388866</v>
      </c>
      <c r="I116" s="1511">
        <f>'Input data'!K136</f>
        <v>29411.193230926041</v>
      </c>
      <c r="J116" s="1511">
        <f t="shared" si="91"/>
        <v>2228.8083452440806</v>
      </c>
      <c r="K116" s="1513">
        <f t="shared" si="77"/>
        <v>11439.115730103165</v>
      </c>
      <c r="L116" s="1506">
        <f t="shared" si="90"/>
        <v>0.7</v>
      </c>
      <c r="M116" s="1506">
        <f t="shared" si="88"/>
        <v>0.6</v>
      </c>
      <c r="N116" s="1506">
        <f t="shared" si="88"/>
        <v>0.9</v>
      </c>
      <c r="O116" s="1506">
        <f t="shared" si="88"/>
        <v>0.9</v>
      </c>
      <c r="P116" s="1506">
        <f t="shared" si="88"/>
        <v>0.23600000000000002</v>
      </c>
      <c r="Q116" s="1510">
        <f t="shared" si="33"/>
        <v>314.91661760419152</v>
      </c>
      <c r="R116" s="1511">
        <f t="shared" si="34"/>
        <v>219.75860354009728</v>
      </c>
      <c r="S116" s="1511">
        <f t="shared" si="35"/>
        <v>643.54419954124705</v>
      </c>
      <c r="T116" s="1511">
        <f t="shared" si="36"/>
        <v>433.32237780799687</v>
      </c>
      <c r="U116" s="1513">
        <f t="shared" si="37"/>
        <v>0</v>
      </c>
      <c r="V116" s="1511">
        <f t="shared" si="38"/>
        <v>1611.5417984935327</v>
      </c>
      <c r="W116" s="1456">
        <f t="shared" si="87"/>
        <v>0.5</v>
      </c>
      <c r="X116" s="530">
        <f t="shared" si="39"/>
        <v>3033.4882588631699</v>
      </c>
      <c r="Y116" s="1510">
        <f t="shared" si="78"/>
        <v>4645.0300573567029</v>
      </c>
      <c r="Z116" s="1511">
        <f t="shared" si="79"/>
        <v>9022.8940179905439</v>
      </c>
      <c r="AA116" s="1513">
        <f t="shared" si="80"/>
        <v>6794.0856727464634</v>
      </c>
      <c r="AB116" s="1091">
        <f t="shared" si="40"/>
        <v>0.7529829851929869</v>
      </c>
      <c r="AC116" s="135" t="str">
        <f t="shared" si="41"/>
        <v>Yes</v>
      </c>
      <c r="AD116" s="1091">
        <f t="shared" si="42"/>
        <v>0.7529829851929869</v>
      </c>
      <c r="AE116" s="649">
        <f t="shared" si="10"/>
        <v>0.34642146071856406</v>
      </c>
      <c r="AF116" s="530">
        <f t="shared" si="43"/>
        <v>277.28927932133206</v>
      </c>
      <c r="AG116" s="528">
        <f t="shared" si="44"/>
        <v>2228.8083452440806</v>
      </c>
      <c r="AH116" s="528">
        <f t="shared" si="81"/>
        <v>9673.5781730183098</v>
      </c>
      <c r="AI116" s="528">
        <f t="shared" si="82"/>
        <v>6437.663217588939</v>
      </c>
      <c r="AJ116" s="528">
        <f t="shared" si="11"/>
        <v>882.47497454136862</v>
      </c>
      <c r="AK116" s="528">
        <f t="shared" si="45"/>
        <v>19222.524710392699</v>
      </c>
      <c r="AL116" s="716">
        <f t="shared" si="12"/>
        <v>0</v>
      </c>
      <c r="AM116" s="417">
        <f t="shared" si="46"/>
        <v>0.11594774249602449</v>
      </c>
      <c r="AN116" s="417">
        <f t="shared" si="47"/>
        <v>0.50324181234051268</v>
      </c>
      <c r="AO116" s="417">
        <f t="shared" si="48"/>
        <v>0.33490206487332036</v>
      </c>
      <c r="AP116" s="417">
        <f t="shared" si="49"/>
        <v>4.5908380290142464E-2</v>
      </c>
      <c r="AQ116" s="417">
        <f t="shared" si="50"/>
        <v>0.99999999999999989</v>
      </c>
      <c r="AR116" s="1086">
        <f t="shared" si="13"/>
        <v>479.98416430079305</v>
      </c>
      <c r="AS116" s="938">
        <f t="shared" si="14"/>
        <v>608.74977362406332</v>
      </c>
      <c r="AT116" s="938">
        <f t="shared" si="15"/>
        <v>121.40067556647645</v>
      </c>
      <c r="AU116" s="938">
        <f t="shared" si="16"/>
        <v>0</v>
      </c>
      <c r="AV116" s="938">
        <f t="shared" si="17"/>
        <v>0</v>
      </c>
      <c r="AW116" s="938">
        <f t="shared" si="18"/>
        <v>0</v>
      </c>
      <c r="AX116" s="938">
        <f t="shared" si="19"/>
        <v>847.82180146306473</v>
      </c>
      <c r="AY116" s="938">
        <f t="shared" si="20"/>
        <v>68.291587952262518</v>
      </c>
      <c r="AZ116" s="938">
        <f t="shared" si="21"/>
        <v>19.196783315431162</v>
      </c>
      <c r="BA116" s="938">
        <f t="shared" si="22"/>
        <v>49.581552048691819</v>
      </c>
      <c r="BB116" s="938">
        <f t="shared" si="23"/>
        <v>33.782006973295992</v>
      </c>
      <c r="BC116" s="530">
        <f t="shared" si="51"/>
        <v>2228.8083452440792</v>
      </c>
      <c r="BD116" s="724">
        <f t="shared" si="52"/>
        <v>0</v>
      </c>
      <c r="BE116" s="436">
        <f t="shared" si="53"/>
        <v>0.21535461553928698</v>
      </c>
      <c r="BF116" s="624">
        <f t="shared" si="54"/>
        <v>0.27312791381234641</v>
      </c>
      <c r="BG116" s="624">
        <f t="shared" si="55"/>
        <v>5.4468871594781171E-2</v>
      </c>
      <c r="BH116" s="624">
        <f t="shared" si="56"/>
        <v>0</v>
      </c>
      <c r="BI116" s="624">
        <f t="shared" si="57"/>
        <v>0</v>
      </c>
      <c r="BJ116" s="624">
        <f t="shared" si="58"/>
        <v>0</v>
      </c>
      <c r="BK116" s="624">
        <f t="shared" si="59"/>
        <v>0.45704859905358536</v>
      </c>
      <c r="BL116" s="624">
        <f t="shared" si="60"/>
        <v>1</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74.419920435881096</v>
      </c>
      <c r="BW116" s="114">
        <f t="shared" si="63"/>
        <v>0.70975451598294426</v>
      </c>
      <c r="BX116" s="1695">
        <f t="shared" si="24"/>
        <v>32.28539580363168</v>
      </c>
      <c r="BY116" s="527">
        <f t="shared" si="64"/>
        <v>74.419920435881096</v>
      </c>
      <c r="BZ116" s="417">
        <f t="shared" si="65"/>
        <v>0.70975451598294426</v>
      </c>
      <c r="CA116" s="544">
        <f t="shared" si="25"/>
        <v>32.28539580363168</v>
      </c>
      <c r="CB116" s="649">
        <f t="shared" si="26"/>
        <v>0.34642146071856406</v>
      </c>
      <c r="CC116" s="525">
        <f t="shared" si="66"/>
        <v>0.34507767462713557</v>
      </c>
      <c r="CD116" s="417">
        <f t="shared" si="27"/>
        <v>0.34642146071856406</v>
      </c>
      <c r="CE116" s="525">
        <f t="shared" si="67"/>
        <v>0.34507767462713557</v>
      </c>
      <c r="CG116" s="527">
        <f t="shared" si="68"/>
        <v>1837.0136026911173</v>
      </c>
      <c r="CH116" s="528">
        <f t="shared" si="69"/>
        <v>808.92737499422344</v>
      </c>
      <c r="CI116" s="528">
        <f t="shared" si="70"/>
        <v>3080.7966999315026</v>
      </c>
      <c r="CJ116" s="528">
        <f t="shared" si="71"/>
        <v>3899.9014002719787</v>
      </c>
      <c r="CK116" s="528">
        <f t="shared" si="72"/>
        <v>46.939095129488457</v>
      </c>
      <c r="CL116" s="528">
        <f t="shared" si="73"/>
        <v>9673.5781730183116</v>
      </c>
      <c r="CM116" s="646">
        <f t="shared" si="74"/>
        <v>0</v>
      </c>
    </row>
    <row r="117" spans="1:91" s="1" customFormat="1">
      <c r="A117" s="873">
        <f>'Input data'!A137</f>
        <v>2037</v>
      </c>
      <c r="B117" s="1553">
        <f>'Input data'!B137</f>
        <v>69.83</v>
      </c>
      <c r="C117" s="1552">
        <f>'Input data'!C137</f>
        <v>4457.0000000000018</v>
      </c>
      <c r="D117" s="1552">
        <f>'Input data'!D137</f>
        <v>29450466.968101323</v>
      </c>
      <c r="E117" s="1457">
        <f t="shared" si="89"/>
        <v>1</v>
      </c>
      <c r="F117" s="1451">
        <f t="shared" si="89"/>
        <v>0.37</v>
      </c>
      <c r="G117" s="1556">
        <f>B117*F117*'Input data'!$C$9</f>
        <v>790.79772952046653</v>
      </c>
      <c r="H117" s="1544">
        <f>'Input data'!I137</f>
        <v>424.26313389388866</v>
      </c>
      <c r="I117" s="1511">
        <f>'Input data'!K137</f>
        <v>29626.294639810243</v>
      </c>
      <c r="J117" s="1511">
        <f t="shared" si="91"/>
        <v>2228.8083452440806</v>
      </c>
      <c r="K117" s="1513">
        <f t="shared" si="77"/>
        <v>11539.077323026166</v>
      </c>
      <c r="L117" s="1506">
        <f t="shared" si="90"/>
        <v>0.7</v>
      </c>
      <c r="M117" s="1506">
        <f t="shared" si="88"/>
        <v>0.6</v>
      </c>
      <c r="N117" s="1506">
        <f t="shared" si="88"/>
        <v>0.9</v>
      </c>
      <c r="O117" s="1506">
        <f t="shared" si="88"/>
        <v>0.9</v>
      </c>
      <c r="P117" s="1506">
        <f>P116</f>
        <v>0.23600000000000002</v>
      </c>
      <c r="Q117" s="1510">
        <f t="shared" si="33"/>
        <v>317.21978863148888</v>
      </c>
      <c r="R117" s="1511">
        <f t="shared" si="34"/>
        <v>221.36582786672534</v>
      </c>
      <c r="S117" s="1511">
        <f t="shared" si="35"/>
        <v>648.25081796756194</v>
      </c>
      <c r="T117" s="1511">
        <f t="shared" si="36"/>
        <v>436.49152001979792</v>
      </c>
      <c r="U117" s="1513">
        <f t="shared" si="37"/>
        <v>0</v>
      </c>
      <c r="V117" s="1511">
        <f t="shared" si="38"/>
        <v>1623.3279544855741</v>
      </c>
      <c r="W117" s="1456">
        <f t="shared" si="87"/>
        <v>0.5</v>
      </c>
      <c r="X117" s="530">
        <f t="shared" si="39"/>
        <v>3033.4882588631699</v>
      </c>
      <c r="Y117" s="1510">
        <f t="shared" si="78"/>
        <v>4656.816213348744</v>
      </c>
      <c r="Z117" s="1511">
        <f t="shared" si="79"/>
        <v>9111.0694549215023</v>
      </c>
      <c r="AA117" s="1513">
        <f t="shared" si="80"/>
        <v>6882.2611096774217</v>
      </c>
      <c r="AB117" s="1091">
        <f t="shared" si="40"/>
        <v>0.75537357537756988</v>
      </c>
      <c r="AC117" s="135" t="str">
        <f t="shared" si="41"/>
        <v>Yes</v>
      </c>
      <c r="AD117" s="1091">
        <f t="shared" si="42"/>
        <v>0.75537357537756988</v>
      </c>
      <c r="AE117" s="649">
        <f t="shared" si="10"/>
        <v>0.34885125932123817</v>
      </c>
      <c r="AF117" s="530">
        <f t="shared" si="43"/>
        <v>276.2584053514305</v>
      </c>
      <c r="AG117" s="528">
        <f t="shared" si="44"/>
        <v>2228.8083452440806</v>
      </c>
      <c r="AH117" s="528">
        <f t="shared" si="81"/>
        <v>9744.3267576687213</v>
      </c>
      <c r="AI117" s="528">
        <f t="shared" si="82"/>
        <v>6437.663217588939</v>
      </c>
      <c r="AJ117" s="528">
        <f t="shared" si="11"/>
        <v>880.32612518865233</v>
      </c>
      <c r="AK117" s="528">
        <f t="shared" si="45"/>
        <v>19291.124445690391</v>
      </c>
      <c r="AL117" s="716">
        <f t="shared" si="12"/>
        <v>0</v>
      </c>
      <c r="AM117" s="417">
        <f t="shared" si="46"/>
        <v>0.11553542933791985</v>
      </c>
      <c r="AN117" s="417">
        <f t="shared" si="47"/>
        <v>0.5051196878181764</v>
      </c>
      <c r="AO117" s="417">
        <f t="shared" si="48"/>
        <v>0.3337111445065144</v>
      </c>
      <c r="AP117" s="417">
        <f t="shared" si="49"/>
        <v>4.5633738337389443E-2</v>
      </c>
      <c r="AQ117" s="417">
        <f t="shared" si="50"/>
        <v>1</v>
      </c>
      <c r="AR117" s="1086">
        <f t="shared" si="13"/>
        <v>481.20805297684103</v>
      </c>
      <c r="AS117" s="938">
        <f t="shared" si="14"/>
        <v>610.3019955719908</v>
      </c>
      <c r="AT117" s="938">
        <f t="shared" si="15"/>
        <v>121.10506178632825</v>
      </c>
      <c r="AU117" s="938">
        <f t="shared" si="16"/>
        <v>0</v>
      </c>
      <c r="AV117" s="938">
        <f t="shared" si="17"/>
        <v>0</v>
      </c>
      <c r="AW117" s="938">
        <f t="shared" si="18"/>
        <v>0</v>
      </c>
      <c r="AX117" s="938">
        <f t="shared" si="19"/>
        <v>845.75733348170411</v>
      </c>
      <c r="AY117" s="938">
        <f t="shared" si="20"/>
        <v>68.125296171984587</v>
      </c>
      <c r="AZ117" s="938">
        <f t="shared" si="21"/>
        <v>19.150038652305629</v>
      </c>
      <c r="BA117" s="938">
        <f t="shared" si="22"/>
        <v>49.460819689021278</v>
      </c>
      <c r="BB117" s="938">
        <f t="shared" si="23"/>
        <v>33.699746913903653</v>
      </c>
      <c r="BC117" s="530">
        <f t="shared" si="51"/>
        <v>2228.8083452440796</v>
      </c>
      <c r="BD117" s="724">
        <f t="shared" si="52"/>
        <v>0</v>
      </c>
      <c r="BE117" s="436">
        <f t="shared" si="53"/>
        <v>0.21590373797893481</v>
      </c>
      <c r="BF117" s="624">
        <f t="shared" si="54"/>
        <v>0.27382434962354552</v>
      </c>
      <c r="BG117" s="624">
        <f t="shared" si="55"/>
        <v>5.4336238485802095E-2</v>
      </c>
      <c r="BH117" s="624">
        <f t="shared" si="56"/>
        <v>0</v>
      </c>
      <c r="BI117" s="624">
        <f t="shared" si="57"/>
        <v>0</v>
      </c>
      <c r="BJ117" s="624">
        <f t="shared" si="58"/>
        <v>0</v>
      </c>
      <c r="BK117" s="624">
        <f t="shared" si="59"/>
        <v>0.45593567391171747</v>
      </c>
      <c r="BL117" s="624">
        <f t="shared" si="60"/>
        <v>0.99999999999999978</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72.324801645764083</v>
      </c>
      <c r="BW117" s="114">
        <f t="shared" si="63"/>
        <v>0.72486494157885706</v>
      </c>
      <c r="BX117" s="1695">
        <f t="shared" si="24"/>
        <v>29.450466968101324</v>
      </c>
      <c r="BY117" s="527">
        <f t="shared" si="64"/>
        <v>72.324801645764083</v>
      </c>
      <c r="BZ117" s="417">
        <f t="shared" si="65"/>
        <v>0.72486494157885706</v>
      </c>
      <c r="CA117" s="544">
        <f t="shared" si="25"/>
        <v>29.450466968101324</v>
      </c>
      <c r="CB117" s="649">
        <f t="shared" si="26"/>
        <v>0.34885125932123817</v>
      </c>
      <c r="CC117" s="525">
        <f t="shared" si="66"/>
        <v>0.36120009506420703</v>
      </c>
      <c r="CD117" s="417">
        <f t="shared" si="27"/>
        <v>0.34885125932123817</v>
      </c>
      <c r="CE117" s="525">
        <f t="shared" si="67"/>
        <v>0.36120009506420703</v>
      </c>
      <c r="CG117" s="527">
        <f t="shared" si="68"/>
        <v>1850.4487670170176</v>
      </c>
      <c r="CH117" s="528">
        <f t="shared" si="69"/>
        <v>814.84353815972509</v>
      </c>
      <c r="CI117" s="528">
        <f t="shared" si="70"/>
        <v>3103.328383887264</v>
      </c>
      <c r="CJ117" s="528">
        <f t="shared" si="71"/>
        <v>3928.4236801781844</v>
      </c>
      <c r="CK117" s="528">
        <f t="shared" si="72"/>
        <v>47.282388426527689</v>
      </c>
      <c r="CL117" s="528">
        <f t="shared" si="73"/>
        <v>9744.3267576687176</v>
      </c>
      <c r="CM117" s="646">
        <f t="shared" si="74"/>
        <v>0</v>
      </c>
    </row>
    <row r="118" spans="1:91">
      <c r="A118" s="873">
        <f>'Input data'!A138</f>
        <v>2038</v>
      </c>
      <c r="B118" s="1553">
        <f>'Input data'!B138</f>
        <v>70.341999999999999</v>
      </c>
      <c r="C118" s="1552">
        <f>'Input data'!C138</f>
        <v>4590.03</v>
      </c>
      <c r="D118" s="1552">
        <f>'Input data'!D138</f>
        <v>26615538.132570967</v>
      </c>
      <c r="E118" s="1457">
        <f t="shared" si="89"/>
        <v>1</v>
      </c>
      <c r="F118" s="1451">
        <f t="shared" si="89"/>
        <v>0.37</v>
      </c>
      <c r="G118" s="1556">
        <f>B118*F118*'Input data'!$C$9</f>
        <v>796.59593140381867</v>
      </c>
      <c r="H118" s="1544">
        <f>'Input data'!I138</f>
        <v>424.26313389388866</v>
      </c>
      <c r="I118" s="1511">
        <f>'Input data'!K138</f>
        <v>29843.517364363917</v>
      </c>
      <c r="J118" s="1511">
        <f t="shared" si="91"/>
        <v>2228.8083452440806</v>
      </c>
      <c r="K118" s="1513">
        <f t="shared" si="77"/>
        <v>11640.024730475034</v>
      </c>
      <c r="L118" s="1506">
        <f t="shared" si="90"/>
        <v>0.7</v>
      </c>
      <c r="M118" s="1506">
        <f t="shared" si="88"/>
        <v>0.6</v>
      </c>
      <c r="N118" s="1506">
        <f t="shared" si="88"/>
        <v>0.9</v>
      </c>
      <c r="O118" s="1506">
        <f t="shared" si="88"/>
        <v>0.9</v>
      </c>
      <c r="P118" s="1506">
        <f t="shared" si="88"/>
        <v>0.23600000000000002</v>
      </c>
      <c r="Q118" s="1510">
        <f t="shared" si="33"/>
        <v>319.54567337700382</v>
      </c>
      <c r="R118" s="1511">
        <f t="shared" si="34"/>
        <v>222.98890253188017</v>
      </c>
      <c r="S118" s="1511">
        <f t="shared" si="35"/>
        <v>653.00385274916562</v>
      </c>
      <c r="T118" s="1511">
        <f t="shared" si="36"/>
        <v>439.69191609956533</v>
      </c>
      <c r="U118" s="1513">
        <f t="shared" si="37"/>
        <v>0</v>
      </c>
      <c r="V118" s="1511">
        <f t="shared" si="38"/>
        <v>1635.2303447576151</v>
      </c>
      <c r="W118" s="1456">
        <f t="shared" si="87"/>
        <v>0.5</v>
      </c>
      <c r="X118" s="530">
        <f t="shared" si="39"/>
        <v>3033.4882588631699</v>
      </c>
      <c r="Y118" s="1510">
        <f t="shared" si="78"/>
        <v>4668.718603620785</v>
      </c>
      <c r="Z118" s="1511">
        <f t="shared" si="79"/>
        <v>9200.1144720983284</v>
      </c>
      <c r="AA118" s="1513">
        <f t="shared" si="80"/>
        <v>6971.3061268542479</v>
      </c>
      <c r="AB118" s="1091">
        <f t="shared" si="40"/>
        <v>0.75774123767660662</v>
      </c>
      <c r="AC118" s="135" t="str">
        <f t="shared" si="41"/>
        <v>Yes</v>
      </c>
      <c r="AD118" s="1091">
        <f t="shared" si="42"/>
        <v>0.75774123767660662</v>
      </c>
      <c r="AE118" s="649">
        <f t="shared" si="10"/>
        <v>0.35126807367285373</v>
      </c>
      <c r="AF118" s="530">
        <f t="shared" si="43"/>
        <v>275.2330401205744</v>
      </c>
      <c r="AG118" s="528">
        <f t="shared" si="44"/>
        <v>2228.8083452440806</v>
      </c>
      <c r="AH118" s="528">
        <f t="shared" si="81"/>
        <v>9815.7730601164712</v>
      </c>
      <c r="AI118" s="528">
        <f t="shared" si="82"/>
        <v>6437.663217588939</v>
      </c>
      <c r="AJ118" s="528">
        <f t="shared" si="11"/>
        <v>878.19788521195244</v>
      </c>
      <c r="AK118" s="528">
        <f t="shared" si="45"/>
        <v>19360.442508161443</v>
      </c>
      <c r="AL118" s="716">
        <f t="shared" si="12"/>
        <v>0</v>
      </c>
      <c r="AM118" s="417">
        <f t="shared" si="46"/>
        <v>0.11512176667989489</v>
      </c>
      <c r="AN118" s="417">
        <f t="shared" si="47"/>
        <v>0.5070014828420687</v>
      </c>
      <c r="AO118" s="417">
        <f t="shared" si="48"/>
        <v>0.33251632626036964</v>
      </c>
      <c r="AP118" s="417">
        <f t="shared" si="49"/>
        <v>4.5360424217666818E-2</v>
      </c>
      <c r="AQ118" s="417">
        <f t="shared" si="50"/>
        <v>1</v>
      </c>
      <c r="AR118" s="1086">
        <f t="shared" si="13"/>
        <v>482.42020347222285</v>
      </c>
      <c r="AS118" s="938">
        <f t="shared" si="14"/>
        <v>611.83933033122571</v>
      </c>
      <c r="AT118" s="938">
        <f t="shared" si="15"/>
        <v>120.81228320518699</v>
      </c>
      <c r="AU118" s="938">
        <f t="shared" si="16"/>
        <v>0</v>
      </c>
      <c r="AV118" s="938">
        <f t="shared" si="17"/>
        <v>0</v>
      </c>
      <c r="AW118" s="938">
        <f t="shared" si="18"/>
        <v>0</v>
      </c>
      <c r="AX118" s="938">
        <f t="shared" si="19"/>
        <v>843.71266558397804</v>
      </c>
      <c r="AY118" s="938">
        <f t="shared" si="20"/>
        <v>67.960599277743668</v>
      </c>
      <c r="AZ118" s="938">
        <f t="shared" si="21"/>
        <v>19.103742312064188</v>
      </c>
      <c r="BA118" s="938">
        <f t="shared" si="22"/>
        <v>49.341245260033354</v>
      </c>
      <c r="BB118" s="938">
        <f t="shared" si="23"/>
        <v>33.618275801625273</v>
      </c>
      <c r="BC118" s="530">
        <f t="shared" si="51"/>
        <v>2228.8083452440801</v>
      </c>
      <c r="BD118" s="724">
        <f t="shared" si="52"/>
        <v>0</v>
      </c>
      <c r="BE118" s="436">
        <f t="shared" si="53"/>
        <v>0.21644759384611525</v>
      </c>
      <c r="BF118" s="624">
        <f t="shared" si="54"/>
        <v>0.27451410599605514</v>
      </c>
      <c r="BG118" s="624">
        <f t="shared" si="55"/>
        <v>5.4204877446273496E-2</v>
      </c>
      <c r="BH118" s="624">
        <f t="shared" si="56"/>
        <v>0</v>
      </c>
      <c r="BI118" s="624">
        <f t="shared" si="57"/>
        <v>0</v>
      </c>
      <c r="BJ118" s="624">
        <f t="shared" si="58"/>
        <v>0</v>
      </c>
      <c r="BK118" s="624">
        <f t="shared" si="59"/>
        <v>0.45483342271155608</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70.24064632225587</v>
      </c>
      <c r="BW118" s="114">
        <f t="shared" si="63"/>
        <v>0.74091737223920506</v>
      </c>
      <c r="BX118" s="1695">
        <f t="shared" si="24"/>
        <v>26.615538132570968</v>
      </c>
      <c r="BY118" s="527">
        <f t="shared" si="64"/>
        <v>70.24064632225587</v>
      </c>
      <c r="BZ118" s="417">
        <f t="shared" si="65"/>
        <v>0.74091737223920506</v>
      </c>
      <c r="CA118" s="544">
        <f t="shared" si="25"/>
        <v>26.615538132570968</v>
      </c>
      <c r="CB118" s="649">
        <f t="shared" si="26"/>
        <v>0.35126807367285373</v>
      </c>
      <c r="CC118" s="525">
        <f t="shared" si="66"/>
        <v>0.37787705294076901</v>
      </c>
      <c r="CD118" s="417">
        <f t="shared" si="27"/>
        <v>0.35126807367285373</v>
      </c>
      <c r="CE118" s="525">
        <f t="shared" si="67"/>
        <v>0.37787705294076901</v>
      </c>
      <c r="CG118" s="527">
        <f t="shared" si="68"/>
        <v>1864.0164280325228</v>
      </c>
      <c r="CH118" s="528">
        <f t="shared" si="69"/>
        <v>820.81804612962026</v>
      </c>
      <c r="CI118" s="528">
        <f t="shared" si="70"/>
        <v>3126.0822737991975</v>
      </c>
      <c r="CJ118" s="528">
        <f t="shared" si="71"/>
        <v>3957.2272448960889</v>
      </c>
      <c r="CK118" s="528">
        <f t="shared" si="72"/>
        <v>47.629067259040688</v>
      </c>
      <c r="CL118" s="528">
        <f t="shared" si="73"/>
        <v>9815.7730601164694</v>
      </c>
      <c r="CM118" s="646">
        <f t="shared" si="74"/>
        <v>0</v>
      </c>
    </row>
    <row r="119" spans="1:91">
      <c r="A119" s="873">
        <f>'Input data'!A139</f>
        <v>2039</v>
      </c>
      <c r="B119" s="1553">
        <f>'Input data'!B139</f>
        <v>70.856999999999999</v>
      </c>
      <c r="C119" s="1552">
        <f>'Input data'!C139</f>
        <v>4728.5300000000007</v>
      </c>
      <c r="D119" s="1552">
        <f>'Input data'!D139</f>
        <v>23780609.297040608</v>
      </c>
      <c r="E119" s="1457">
        <f t="shared" si="89"/>
        <v>1</v>
      </c>
      <c r="F119" s="1451">
        <f t="shared" si="89"/>
        <v>0.37</v>
      </c>
      <c r="G119" s="1556">
        <f>B119*F119*'Input data'!$C$9</f>
        <v>802.42810712633093</v>
      </c>
      <c r="H119" s="1544">
        <f>'Input data'!I139</f>
        <v>424.26313389388866</v>
      </c>
      <c r="I119" s="1511">
        <f>'Input data'!K139</f>
        <v>30062.01287831927</v>
      </c>
      <c r="J119" s="1511">
        <f t="shared" si="91"/>
        <v>2228.8083452440806</v>
      </c>
      <c r="K119" s="1513">
        <f t="shared" si="77"/>
        <v>11741.563626639421</v>
      </c>
      <c r="L119" s="1506">
        <f t="shared" si="90"/>
        <v>0.7</v>
      </c>
      <c r="M119" s="1506">
        <f t="shared" si="88"/>
        <v>0.6</v>
      </c>
      <c r="N119" s="1506">
        <f t="shared" si="88"/>
        <v>0.9</v>
      </c>
      <c r="O119" s="1506">
        <f t="shared" si="88"/>
        <v>0.9</v>
      </c>
      <c r="P119" s="1506">
        <f t="shared" si="88"/>
        <v>0.23600000000000002</v>
      </c>
      <c r="Q119" s="1510">
        <f t="shared" si="33"/>
        <v>321.88518635344985</v>
      </c>
      <c r="R119" s="1511">
        <f t="shared" si="34"/>
        <v>224.62148740015118</v>
      </c>
      <c r="S119" s="1511">
        <f t="shared" si="35"/>
        <v>657.78473734394265</v>
      </c>
      <c r="T119" s="1511">
        <f t="shared" si="36"/>
        <v>442.91106450011193</v>
      </c>
      <c r="U119" s="1513">
        <f t="shared" si="37"/>
        <v>0</v>
      </c>
      <c r="V119" s="1511">
        <f t="shared" si="38"/>
        <v>1647.2024755976556</v>
      </c>
      <c r="W119" s="1456">
        <f t="shared" si="87"/>
        <v>0.5</v>
      </c>
      <c r="X119" s="530">
        <f t="shared" si="39"/>
        <v>3033.4882588631699</v>
      </c>
      <c r="Y119" s="1510">
        <f t="shared" si="78"/>
        <v>4680.6907344608253</v>
      </c>
      <c r="Z119" s="1511">
        <f t="shared" si="79"/>
        <v>9289.6812374226756</v>
      </c>
      <c r="AA119" s="1513">
        <f t="shared" si="80"/>
        <v>7060.8728921785951</v>
      </c>
      <c r="AB119" s="1091">
        <f t="shared" si="40"/>
        <v>0.76007698345283159</v>
      </c>
      <c r="AC119" s="135" t="str">
        <f t="shared" si="41"/>
        <v>Yes</v>
      </c>
      <c r="AD119" s="1091">
        <f t="shared" si="42"/>
        <v>0.76007698345283159</v>
      </c>
      <c r="AE119" s="649">
        <f t="shared" si="10"/>
        <v>0.35366244539167624</v>
      </c>
      <c r="AF119" s="530">
        <f t="shared" si="43"/>
        <v>274.21719647143982</v>
      </c>
      <c r="AG119" s="528">
        <f t="shared" si="44"/>
        <v>2228.8083452440806</v>
      </c>
      <c r="AH119" s="528">
        <f t="shared" si="81"/>
        <v>9887.6379932426262</v>
      </c>
      <c r="AI119" s="528">
        <f t="shared" si="82"/>
        <v>6437.663217588939</v>
      </c>
      <c r="AJ119" s="528">
        <f t="shared" si="11"/>
        <v>876.09833430116885</v>
      </c>
      <c r="AK119" s="528">
        <f t="shared" si="45"/>
        <v>19430.207890376812</v>
      </c>
      <c r="AL119" s="716">
        <f t="shared" si="12"/>
        <v>0</v>
      </c>
      <c r="AM119" s="417">
        <f t="shared" si="46"/>
        <v>0.11470841474361894</v>
      </c>
      <c r="AN119" s="417">
        <f t="shared" si="47"/>
        <v>0.50887968101152792</v>
      </c>
      <c r="AO119" s="417">
        <f t="shared" si="48"/>
        <v>0.33132240549918751</v>
      </c>
      <c r="AP119" s="417">
        <f t="shared" si="49"/>
        <v>4.5089498745665688E-2</v>
      </c>
      <c r="AQ119" s="417">
        <f t="shared" si="50"/>
        <v>1</v>
      </c>
      <c r="AR119" s="1086">
        <f t="shared" si="13"/>
        <v>483.6160139562129</v>
      </c>
      <c r="AS119" s="938">
        <f t="shared" si="14"/>
        <v>613.35594153544469</v>
      </c>
      <c r="AT119" s="938">
        <f t="shared" si="15"/>
        <v>120.52345133311283</v>
      </c>
      <c r="AU119" s="938">
        <f t="shared" si="16"/>
        <v>0</v>
      </c>
      <c r="AV119" s="938">
        <f t="shared" si="17"/>
        <v>0</v>
      </c>
      <c r="AW119" s="938">
        <f t="shared" si="18"/>
        <v>0</v>
      </c>
      <c r="AX119" s="938">
        <f t="shared" si="19"/>
        <v>841.69556018518858</v>
      </c>
      <c r="AY119" s="938">
        <f t="shared" si="20"/>
        <v>67.798122527897519</v>
      </c>
      <c r="AZ119" s="938">
        <f t="shared" si="21"/>
        <v>19.058070054995461</v>
      </c>
      <c r="BA119" s="938">
        <f t="shared" si="22"/>
        <v>49.223282716318288</v>
      </c>
      <c r="BB119" s="938">
        <f t="shared" si="23"/>
        <v>33.537902934909425</v>
      </c>
      <c r="BC119" s="530">
        <f t="shared" si="51"/>
        <v>2228.8083452440796</v>
      </c>
      <c r="BD119" s="724">
        <f t="shared" si="52"/>
        <v>0</v>
      </c>
      <c r="BE119" s="436">
        <f t="shared" si="53"/>
        <v>0.21698411843628101</v>
      </c>
      <c r="BF119" s="624">
        <f t="shared" si="54"/>
        <v>0.27519456432593142</v>
      </c>
      <c r="BG119" s="624">
        <f t="shared" si="55"/>
        <v>5.4075287177693221E-2</v>
      </c>
      <c r="BH119" s="624">
        <f t="shared" si="56"/>
        <v>0</v>
      </c>
      <c r="BI119" s="624">
        <f t="shared" si="57"/>
        <v>0</v>
      </c>
      <c r="BJ119" s="624">
        <f t="shared" si="58"/>
        <v>0</v>
      </c>
      <c r="BK119" s="624">
        <f t="shared" si="59"/>
        <v>0.45374603006009434</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68.184958774848027</v>
      </c>
      <c r="BW119" s="114">
        <f t="shared" si="63"/>
        <v>0.75805259371141709</v>
      </c>
      <c r="BX119" s="1695">
        <f t="shared" si="24"/>
        <v>23.780609297040609</v>
      </c>
      <c r="BY119" s="527">
        <f t="shared" si="64"/>
        <v>68.184958774848027</v>
      </c>
      <c r="BZ119" s="417">
        <f t="shared" si="65"/>
        <v>0.75805259371141709</v>
      </c>
      <c r="CA119" s="544">
        <f t="shared" si="25"/>
        <v>23.780609297040609</v>
      </c>
      <c r="CB119" s="649">
        <f t="shared" si="26"/>
        <v>0.35366244539167624</v>
      </c>
      <c r="CC119" s="525">
        <f t="shared" si="66"/>
        <v>0.39521158860047567</v>
      </c>
      <c r="CD119" s="417">
        <f t="shared" si="27"/>
        <v>0.35366244539167624</v>
      </c>
      <c r="CE119" s="525">
        <f t="shared" si="67"/>
        <v>0.39521158860047567</v>
      </c>
      <c r="CG119" s="527">
        <f t="shared" si="68"/>
        <v>1877.6635870617906</v>
      </c>
      <c r="CH119" s="528">
        <f t="shared" si="69"/>
        <v>826.82756098215168</v>
      </c>
      <c r="CI119" s="528">
        <f t="shared" si="70"/>
        <v>3148.9694872848336</v>
      </c>
      <c r="CJ119" s="528">
        <f t="shared" si="71"/>
        <v>3986.1995805010115</v>
      </c>
      <c r="CK119" s="528">
        <f t="shared" si="72"/>
        <v>47.977777412837938</v>
      </c>
      <c r="CL119" s="528">
        <f t="shared" si="73"/>
        <v>9887.6379932426262</v>
      </c>
      <c r="CM119" s="646">
        <f t="shared" si="74"/>
        <v>0</v>
      </c>
    </row>
    <row r="120" spans="1:91">
      <c r="A120" s="873">
        <f>'Input data'!A140</f>
        <v>2040</v>
      </c>
      <c r="B120" s="1553">
        <f>'Input data'!B140</f>
        <v>71.375</v>
      </c>
      <c r="C120" s="1552">
        <f>'Input data'!C140</f>
        <v>4875.51</v>
      </c>
      <c r="D120" s="1552">
        <f>'Input data'!D140</f>
        <v>20945680.461510252</v>
      </c>
      <c r="E120" s="1457">
        <f t="shared" si="89"/>
        <v>1</v>
      </c>
      <c r="F120" s="1451">
        <f t="shared" si="89"/>
        <v>0.37</v>
      </c>
      <c r="G120" s="1556">
        <f>B120*F120*'Input data'!$C$9</f>
        <v>808.29425668800366</v>
      </c>
      <c r="H120" s="1544">
        <f>'Input data'!I140</f>
        <v>424.26313389388866</v>
      </c>
      <c r="I120" s="1511">
        <f>'Input data'!K140</f>
        <v>30281.781181676302</v>
      </c>
      <c r="J120" s="1511">
        <f t="shared" si="91"/>
        <v>2228.8083452440806</v>
      </c>
      <c r="K120" s="1513">
        <f t="shared" si="77"/>
        <v>11843.694011519328</v>
      </c>
      <c r="L120" s="1506">
        <f t="shared" si="90"/>
        <v>0.7</v>
      </c>
      <c r="M120" s="1506">
        <f t="shared" si="88"/>
        <v>0.6</v>
      </c>
      <c r="N120" s="1506">
        <f t="shared" si="88"/>
        <v>0.9</v>
      </c>
      <c r="O120" s="1506">
        <f t="shared" si="88"/>
        <v>0.9</v>
      </c>
      <c r="P120" s="1506">
        <f t="shared" si="88"/>
        <v>0.23600000000000002</v>
      </c>
      <c r="Q120" s="1510">
        <f t="shared" si="33"/>
        <v>324.23832756082652</v>
      </c>
      <c r="R120" s="1511">
        <f t="shared" si="34"/>
        <v>226.26358247153826</v>
      </c>
      <c r="S120" s="1511">
        <f t="shared" si="35"/>
        <v>662.5934717518935</v>
      </c>
      <c r="T120" s="1511">
        <f t="shared" si="36"/>
        <v>446.14896522143908</v>
      </c>
      <c r="U120" s="1513">
        <f t="shared" si="37"/>
        <v>0</v>
      </c>
      <c r="V120" s="1511">
        <f t="shared" si="38"/>
        <v>1659.2443470056974</v>
      </c>
      <c r="W120" s="1456">
        <f t="shared" si="87"/>
        <v>0.5</v>
      </c>
      <c r="X120" s="530">
        <f t="shared" si="39"/>
        <v>3033.4882588631699</v>
      </c>
      <c r="Y120" s="1510">
        <f t="shared" si="78"/>
        <v>4692.7326058688668</v>
      </c>
      <c r="Z120" s="1511">
        <f t="shared" si="79"/>
        <v>9379.7697508945421</v>
      </c>
      <c r="AA120" s="1513">
        <f t="shared" si="80"/>
        <v>7150.9614056504615</v>
      </c>
      <c r="AB120" s="1091">
        <f t="shared" si="40"/>
        <v>0.76238133723575452</v>
      </c>
      <c r="AC120" s="135" t="str">
        <f t="shared" si="41"/>
        <v>Yes</v>
      </c>
      <c r="AD120" s="1091">
        <f t="shared" si="42"/>
        <v>0.76238133723575452</v>
      </c>
      <c r="AE120" s="649">
        <f t="shared" si="10"/>
        <v>0.35603457392895366</v>
      </c>
      <c r="AF120" s="530">
        <f t="shared" si="43"/>
        <v>273.21078978421536</v>
      </c>
      <c r="AG120" s="528">
        <f t="shared" si="44"/>
        <v>2228.8083452440806</v>
      </c>
      <c r="AH120" s="528">
        <f t="shared" si="81"/>
        <v>9959.9215570471843</v>
      </c>
      <c r="AI120" s="528">
        <f t="shared" si="82"/>
        <v>6437.663217588939</v>
      </c>
      <c r="AJ120" s="528">
        <f t="shared" si="11"/>
        <v>874.02700096817136</v>
      </c>
      <c r="AK120" s="528">
        <f t="shared" si="45"/>
        <v>19500.420120848372</v>
      </c>
      <c r="AL120" s="716">
        <f t="shared" si="12"/>
        <v>0</v>
      </c>
      <c r="AM120" s="417">
        <f t="shared" si="46"/>
        <v>0.11429540140323477</v>
      </c>
      <c r="AN120" s="417">
        <f t="shared" si="47"/>
        <v>0.51075420402859883</v>
      </c>
      <c r="AO120" s="417">
        <f t="shared" si="48"/>
        <v>0.33012946273430682</v>
      </c>
      <c r="AP120" s="417">
        <f t="shared" si="49"/>
        <v>4.4820931833859719E-2</v>
      </c>
      <c r="AQ120" s="417">
        <f t="shared" si="50"/>
        <v>1.0000000000000002</v>
      </c>
      <c r="AR120" s="1086">
        <f t="shared" si="13"/>
        <v>484.79575296740592</v>
      </c>
      <c r="AS120" s="938">
        <f t="shared" si="14"/>
        <v>614.85216976423521</v>
      </c>
      <c r="AT120" s="938">
        <f t="shared" si="15"/>
        <v>120.23850130823543</v>
      </c>
      <c r="AU120" s="938">
        <f t="shared" si="16"/>
        <v>0</v>
      </c>
      <c r="AV120" s="938">
        <f t="shared" si="17"/>
        <v>0</v>
      </c>
      <c r="AW120" s="938">
        <f t="shared" si="18"/>
        <v>0</v>
      </c>
      <c r="AX120" s="938">
        <f t="shared" si="19"/>
        <v>839.70556431167938</v>
      </c>
      <c r="AY120" s="938">
        <f t="shared" si="20"/>
        <v>67.637829435662979</v>
      </c>
      <c r="AZ120" s="938">
        <f t="shared" si="21"/>
        <v>19.013011624654929</v>
      </c>
      <c r="BA120" s="938">
        <f t="shared" si="22"/>
        <v>49.106905567477703</v>
      </c>
      <c r="BB120" s="938">
        <f t="shared" si="23"/>
        <v>33.458610264728378</v>
      </c>
      <c r="BC120" s="530">
        <f t="shared" si="51"/>
        <v>2228.8083452440801</v>
      </c>
      <c r="BD120" s="724">
        <f t="shared" si="52"/>
        <v>0</v>
      </c>
      <c r="BE120" s="436">
        <f t="shared" si="53"/>
        <v>0.2175134322347107</v>
      </c>
      <c r="BF120" s="624">
        <f t="shared" si="54"/>
        <v>0.27586587742110319</v>
      </c>
      <c r="BG120" s="624">
        <f t="shared" si="55"/>
        <v>5.3947438578469578E-2</v>
      </c>
      <c r="BH120" s="624">
        <f t="shared" si="56"/>
        <v>0</v>
      </c>
      <c r="BI120" s="624">
        <f t="shared" si="57"/>
        <v>0</v>
      </c>
      <c r="BJ120" s="624">
        <f t="shared" si="58"/>
        <v>0</v>
      </c>
      <c r="BK120" s="624">
        <f t="shared" si="59"/>
        <v>0.45267325176571649</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67.293690859519771</v>
      </c>
      <c r="BW120" s="114">
        <f t="shared" si="63"/>
        <v>0.76347336858080095</v>
      </c>
      <c r="BX120" s="1695">
        <f t="shared" si="24"/>
        <v>20.945680461510253</v>
      </c>
      <c r="BY120" s="527">
        <f t="shared" si="64"/>
        <v>67.293690859519771</v>
      </c>
      <c r="BZ120" s="417">
        <f t="shared" si="65"/>
        <v>0.76347336858080095</v>
      </c>
      <c r="CA120" s="544">
        <f t="shared" si="25"/>
        <v>20.945680461510253</v>
      </c>
      <c r="CB120" s="649">
        <f t="shared" si="26"/>
        <v>0.35603457392895366</v>
      </c>
      <c r="CC120" s="525">
        <f t="shared" si="66"/>
        <v>0.39917621913890244</v>
      </c>
      <c r="CD120" s="417">
        <f t="shared" si="27"/>
        <v>0.35603457392895366</v>
      </c>
      <c r="CE120" s="525">
        <f t="shared" si="67"/>
        <v>0.39917621913890244</v>
      </c>
      <c r="CG120" s="527">
        <f t="shared" si="68"/>
        <v>1891.3902441048208</v>
      </c>
      <c r="CH120" s="528">
        <f t="shared" si="69"/>
        <v>832.87208271731902</v>
      </c>
      <c r="CI120" s="528">
        <f t="shared" si="70"/>
        <v>3171.9900243441716</v>
      </c>
      <c r="CJ120" s="528">
        <f t="shared" si="71"/>
        <v>4015.3406869929536</v>
      </c>
      <c r="CK120" s="528">
        <f t="shared" si="72"/>
        <v>48.328518887919429</v>
      </c>
      <c r="CL120" s="528">
        <f t="shared" si="73"/>
        <v>9959.9215570471843</v>
      </c>
      <c r="CM120" s="646">
        <f t="shared" si="74"/>
        <v>0</v>
      </c>
    </row>
    <row r="121" spans="1:91">
      <c r="A121" s="873">
        <f>'Input data'!A141</f>
        <v>2041</v>
      </c>
      <c r="B121" s="1553">
        <f>'Input data'!B141</f>
        <v>71.819000000000003</v>
      </c>
      <c r="C121" s="1552">
        <f>'Input data'!C141</f>
        <v>5028.54</v>
      </c>
      <c r="D121" s="1552">
        <f>'Input data'!D141</f>
        <v>19664699.523913871</v>
      </c>
      <c r="E121" s="1457">
        <f t="shared" si="89"/>
        <v>1</v>
      </c>
      <c r="F121" s="1451">
        <f t="shared" si="89"/>
        <v>0.37</v>
      </c>
      <c r="G121" s="1556">
        <f>B121*F121*'Input data'!$C$9</f>
        <v>813.32238488372309</v>
      </c>
      <c r="H121" s="1544">
        <f>'Input data'!I141</f>
        <v>424.26313389388866</v>
      </c>
      <c r="I121" s="1511">
        <f>'Input data'!K141</f>
        <v>30470.15401312519</v>
      </c>
      <c r="J121" s="1511">
        <f t="shared" si="91"/>
        <v>2228.8083452440806</v>
      </c>
      <c r="K121" s="1513">
        <f t="shared" si="77"/>
        <v>11931.234341416392</v>
      </c>
      <c r="L121" s="1506">
        <f t="shared" si="90"/>
        <v>0.7</v>
      </c>
      <c r="M121" s="1506">
        <f t="shared" si="88"/>
        <v>0.6</v>
      </c>
      <c r="N121" s="1506">
        <f t="shared" si="88"/>
        <v>0.9</v>
      </c>
      <c r="O121" s="1506">
        <f t="shared" si="88"/>
        <v>0.9</v>
      </c>
      <c r="P121" s="1506">
        <f t="shared" si="88"/>
        <v>0.23600000000000002</v>
      </c>
      <c r="Q121" s="1510">
        <f t="shared" si="33"/>
        <v>326.25530573857804</v>
      </c>
      <c r="R121" s="1511">
        <f t="shared" si="34"/>
        <v>227.67109253272724</v>
      </c>
      <c r="S121" s="1511">
        <f t="shared" si="35"/>
        <v>666.71524410156553</v>
      </c>
      <c r="T121" s="1511">
        <f t="shared" si="36"/>
        <v>448.92430869686177</v>
      </c>
      <c r="U121" s="1513">
        <f t="shared" si="37"/>
        <v>0</v>
      </c>
      <c r="V121" s="1511">
        <f t="shared" si="38"/>
        <v>1669.5659510697326</v>
      </c>
      <c r="W121" s="1456">
        <f t="shared" si="87"/>
        <v>0.5</v>
      </c>
      <c r="X121" s="530">
        <f t="shared" si="39"/>
        <v>3033.4882588631699</v>
      </c>
      <c r="Y121" s="1510">
        <f t="shared" si="78"/>
        <v>4703.0542099329023</v>
      </c>
      <c r="Z121" s="1511">
        <f t="shared" si="79"/>
        <v>9456.9884767275689</v>
      </c>
      <c r="AA121" s="1513">
        <f t="shared" si="80"/>
        <v>7228.1801314834884</v>
      </c>
      <c r="AB121" s="1091">
        <f t="shared" si="40"/>
        <v>0.76432155429512361</v>
      </c>
      <c r="AC121" s="135" t="str">
        <f t="shared" si="41"/>
        <v>Yes</v>
      </c>
      <c r="AD121" s="1091">
        <f t="shared" si="42"/>
        <v>0.76432155429512361</v>
      </c>
      <c r="AE121" s="649">
        <f t="shared" si="10"/>
        <v>0.35803956113748092</v>
      </c>
      <c r="AF121" s="530">
        <f t="shared" si="43"/>
        <v>272.36014762770844</v>
      </c>
      <c r="AG121" s="528">
        <f t="shared" si="44"/>
        <v>2228.8083452440806</v>
      </c>
      <c r="AH121" s="528">
        <f t="shared" si="81"/>
        <v>10021.878897451094</v>
      </c>
      <c r="AI121" s="528">
        <f t="shared" si="82"/>
        <v>6437.663217588939</v>
      </c>
      <c r="AJ121" s="528">
        <f t="shared" si="11"/>
        <v>872.28298219028011</v>
      </c>
      <c r="AK121" s="528">
        <f t="shared" si="45"/>
        <v>19560.633442474395</v>
      </c>
      <c r="AL121" s="716">
        <f t="shared" si="12"/>
        <v>0</v>
      </c>
      <c r="AM121" s="417">
        <f t="shared" si="46"/>
        <v>0.1139435668992394</v>
      </c>
      <c r="AN121" s="417">
        <f t="shared" si="47"/>
        <v>0.51234940457957578</v>
      </c>
      <c r="AO121" s="417">
        <f t="shared" si="48"/>
        <v>0.3291132281846279</v>
      </c>
      <c r="AP121" s="417">
        <f t="shared" si="49"/>
        <v>4.4593800336556862E-2</v>
      </c>
      <c r="AQ121" s="417">
        <f t="shared" si="50"/>
        <v>1</v>
      </c>
      <c r="AR121" s="1086">
        <f t="shared" si="13"/>
        <v>485.78906821790366</v>
      </c>
      <c r="AS121" s="938">
        <f t="shared" si="14"/>
        <v>616.11196223001104</v>
      </c>
      <c r="AT121" s="938">
        <f t="shared" si="15"/>
        <v>119.99857942495859</v>
      </c>
      <c r="AU121" s="938">
        <f t="shared" si="16"/>
        <v>0</v>
      </c>
      <c r="AV121" s="938">
        <f t="shared" si="17"/>
        <v>0</v>
      </c>
      <c r="AW121" s="938">
        <f t="shared" si="18"/>
        <v>0</v>
      </c>
      <c r="AX121" s="938">
        <f t="shared" si="19"/>
        <v>838.03002995125678</v>
      </c>
      <c r="AY121" s="938">
        <f t="shared" si="20"/>
        <v>67.502866048375225</v>
      </c>
      <c r="AZ121" s="938">
        <f t="shared" si="21"/>
        <v>18.975073381029834</v>
      </c>
      <c r="BA121" s="938">
        <f t="shared" si="22"/>
        <v>49.008918474013925</v>
      </c>
      <c r="BB121" s="938">
        <f t="shared" si="23"/>
        <v>33.391847516530447</v>
      </c>
      <c r="BC121" s="530">
        <f t="shared" si="51"/>
        <v>2228.8083452440796</v>
      </c>
      <c r="BD121" s="724">
        <f t="shared" si="52"/>
        <v>0</v>
      </c>
      <c r="BE121" s="436">
        <f t="shared" si="53"/>
        <v>0.21795910323761117</v>
      </c>
      <c r="BF121" s="624">
        <f t="shared" si="54"/>
        <v>0.27643110882310512</v>
      </c>
      <c r="BG121" s="624">
        <f t="shared" si="55"/>
        <v>5.3839792766846174E-2</v>
      </c>
      <c r="BH121" s="624">
        <f t="shared" si="56"/>
        <v>0</v>
      </c>
      <c r="BI121" s="624">
        <f t="shared" si="57"/>
        <v>0</v>
      </c>
      <c r="BJ121" s="624">
        <f t="shared" si="58"/>
        <v>0</v>
      </c>
      <c r="BK121" s="624">
        <f t="shared" si="59"/>
        <v>0.45176999517243749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67.62541865001316</v>
      </c>
      <c r="BW121" s="114">
        <f t="shared" si="63"/>
        <v>0.76463361953968378</v>
      </c>
      <c r="BX121" s="1695">
        <f t="shared" si="24"/>
        <v>19.664699523913871</v>
      </c>
      <c r="BY121" s="527">
        <f t="shared" si="64"/>
        <v>67.62541865001316</v>
      </c>
      <c r="BZ121" s="417">
        <f t="shared" si="65"/>
        <v>0.76463361953968378</v>
      </c>
      <c r="CA121" s="544">
        <f t="shared" si="25"/>
        <v>19.664699523913871</v>
      </c>
      <c r="CB121" s="649">
        <f t="shared" si="26"/>
        <v>0.35803956113748092</v>
      </c>
      <c r="CC121" s="525">
        <f t="shared" si="66"/>
        <v>0.39997456790101549</v>
      </c>
      <c r="CD121" s="417">
        <f t="shared" si="27"/>
        <v>0.35803956113748092</v>
      </c>
      <c r="CE121" s="525">
        <f t="shared" si="67"/>
        <v>0.39997456790101549</v>
      </c>
      <c r="CG121" s="527">
        <f t="shared" si="68"/>
        <v>1903.1559501417041</v>
      </c>
      <c r="CH121" s="528">
        <f t="shared" si="69"/>
        <v>838.05310134746253</v>
      </c>
      <c r="CI121" s="528">
        <f t="shared" si="70"/>
        <v>3191.7219132521759</v>
      </c>
      <c r="CJ121" s="528">
        <f t="shared" si="71"/>
        <v>4040.3187782717609</v>
      </c>
      <c r="CK121" s="528">
        <f t="shared" si="72"/>
        <v>48.629154437989293</v>
      </c>
      <c r="CL121" s="528">
        <f t="shared" si="73"/>
        <v>10021.878897451094</v>
      </c>
      <c r="CM121" s="646">
        <f t="shared" si="74"/>
        <v>0</v>
      </c>
    </row>
    <row r="122" spans="1:91">
      <c r="A122" s="873">
        <f>'Input data'!A142</f>
        <v>2042</v>
      </c>
      <c r="B122" s="1553">
        <f>'Input data'!B142</f>
        <v>72.265000000000001</v>
      </c>
      <c r="C122" s="1552">
        <f>'Input data'!C142</f>
        <v>5188.1000000000004</v>
      </c>
      <c r="D122" s="1552">
        <f>'Input data'!D142</f>
        <v>18383718.586317491</v>
      </c>
      <c r="E122" s="1457">
        <f t="shared" si="89"/>
        <v>1</v>
      </c>
      <c r="F122" s="1451">
        <f t="shared" si="89"/>
        <v>0.37</v>
      </c>
      <c r="G122" s="1556">
        <f>B122*F122*'Input data'!$C$9</f>
        <v>818.37316230554939</v>
      </c>
      <c r="H122" s="1544">
        <f>'Input data'!I142</f>
        <v>424.26313389388866</v>
      </c>
      <c r="I122" s="1511">
        <f>'Input data'!K142</f>
        <v>30659.375370841866</v>
      </c>
      <c r="J122" s="1511">
        <f t="shared" si="91"/>
        <v>2228.8083452440806</v>
      </c>
      <c r="K122" s="1513">
        <f t="shared" si="77"/>
        <v>12019.168997123805</v>
      </c>
      <c r="L122" s="1506">
        <f t="shared" si="90"/>
        <v>0.7</v>
      </c>
      <c r="M122" s="1506">
        <f t="shared" si="88"/>
        <v>0.6</v>
      </c>
      <c r="N122" s="1506">
        <f t="shared" si="88"/>
        <v>0.9</v>
      </c>
      <c r="O122" s="1506">
        <f t="shared" si="88"/>
        <v>0.9</v>
      </c>
      <c r="P122" s="1506">
        <f t="shared" si="88"/>
        <v>0.23600000000000002</v>
      </c>
      <c r="Q122" s="1510">
        <f t="shared" si="33"/>
        <v>328.28136940361651</v>
      </c>
      <c r="R122" s="1511">
        <f t="shared" si="34"/>
        <v>229.08494272932694</v>
      </c>
      <c r="S122" s="1511">
        <f t="shared" si="35"/>
        <v>670.85558299335298</v>
      </c>
      <c r="T122" s="1511">
        <f t="shared" si="36"/>
        <v>451.71215371947164</v>
      </c>
      <c r="U122" s="1513">
        <f t="shared" si="37"/>
        <v>0</v>
      </c>
      <c r="V122" s="1511">
        <f t="shared" si="38"/>
        <v>1679.9340488457681</v>
      </c>
      <c r="W122" s="1456">
        <f t="shared" si="87"/>
        <v>0.5</v>
      </c>
      <c r="X122" s="530">
        <f t="shared" si="39"/>
        <v>3033.4882588631699</v>
      </c>
      <c r="Y122" s="1510">
        <f t="shared" si="78"/>
        <v>4713.4223077089382</v>
      </c>
      <c r="Z122" s="1511">
        <f t="shared" si="79"/>
        <v>9534.555034658948</v>
      </c>
      <c r="AA122" s="1513">
        <f t="shared" si="80"/>
        <v>7305.7466894148674</v>
      </c>
      <c r="AB122" s="1091">
        <f t="shared" si="40"/>
        <v>0.76623887143740155</v>
      </c>
      <c r="AC122" s="135" t="str">
        <f t="shared" si="41"/>
        <v>Yes</v>
      </c>
      <c r="AD122" s="1091">
        <f t="shared" si="42"/>
        <v>0.76623887143740155</v>
      </c>
      <c r="AE122" s="649">
        <f t="shared" si="10"/>
        <v>0.36002784798689913</v>
      </c>
      <c r="AF122" s="530">
        <f t="shared" si="43"/>
        <v>271.51659081789433</v>
      </c>
      <c r="AG122" s="528">
        <f t="shared" si="44"/>
        <v>2228.8083452440806</v>
      </c>
      <c r="AH122" s="528">
        <f t="shared" si="81"/>
        <v>10084.115324973938</v>
      </c>
      <c r="AI122" s="528">
        <f t="shared" si="82"/>
        <v>6437.663217588939</v>
      </c>
      <c r="AJ122" s="528">
        <f t="shared" si="11"/>
        <v>870.55954764817159</v>
      </c>
      <c r="AK122" s="528">
        <f t="shared" si="45"/>
        <v>19621.146435455132</v>
      </c>
      <c r="AL122" s="716">
        <f t="shared" si="12"/>
        <v>0</v>
      </c>
      <c r="AM122" s="417">
        <f t="shared" si="46"/>
        <v>0.11359215694026195</v>
      </c>
      <c r="AN122" s="417">
        <f t="shared" si="47"/>
        <v>0.51394118881616857</v>
      </c>
      <c r="AO122" s="417">
        <f t="shared" si="48"/>
        <v>0.32809821988567262</v>
      </c>
      <c r="AP122" s="417">
        <f t="shared" si="49"/>
        <v>4.4368434357896787E-2</v>
      </c>
      <c r="AQ122" s="417">
        <f t="shared" si="50"/>
        <v>0.99999999999999989</v>
      </c>
      <c r="AR122" s="1086">
        <f t="shared" si="13"/>
        <v>486.77065960649031</v>
      </c>
      <c r="AS122" s="938">
        <f t="shared" si="14"/>
        <v>617.35688566714964</v>
      </c>
      <c r="AT122" s="938">
        <f t="shared" si="15"/>
        <v>119.7614892821868</v>
      </c>
      <c r="AU122" s="938">
        <f t="shared" si="16"/>
        <v>0</v>
      </c>
      <c r="AV122" s="938">
        <f t="shared" si="17"/>
        <v>0</v>
      </c>
      <c r="AW122" s="938">
        <f t="shared" si="18"/>
        <v>0</v>
      </c>
      <c r="AX122" s="938">
        <f t="shared" si="19"/>
        <v>836.37427152144573</v>
      </c>
      <c r="AY122" s="938">
        <f t="shared" si="20"/>
        <v>67.369495601611533</v>
      </c>
      <c r="AZ122" s="938">
        <f t="shared" si="21"/>
        <v>18.937582913404587</v>
      </c>
      <c r="BA122" s="938">
        <f t="shared" si="22"/>
        <v>48.912087898737227</v>
      </c>
      <c r="BB122" s="938">
        <f t="shared" si="23"/>
        <v>33.32587275305368</v>
      </c>
      <c r="BC122" s="530">
        <f t="shared" si="51"/>
        <v>2228.8083452440796</v>
      </c>
      <c r="BD122" s="724">
        <f t="shared" si="52"/>
        <v>0</v>
      </c>
      <c r="BE122" s="436">
        <f t="shared" si="53"/>
        <v>0.21839951409244363</v>
      </c>
      <c r="BF122" s="624">
        <f t="shared" si="54"/>
        <v>0.27698966893429416</v>
      </c>
      <c r="BG122" s="624">
        <f t="shared" si="55"/>
        <v>5.373341747294632E-2</v>
      </c>
      <c r="BH122" s="624">
        <f t="shared" si="56"/>
        <v>0</v>
      </c>
      <c r="BI122" s="624">
        <f t="shared" si="57"/>
        <v>0</v>
      </c>
      <c r="BJ122" s="624">
        <f t="shared" si="58"/>
        <v>0</v>
      </c>
      <c r="BK122" s="624">
        <f t="shared" si="59"/>
        <v>0.45087739950031586</v>
      </c>
      <c r="BL122" s="624">
        <f t="shared" si="60"/>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67.990896492118125</v>
      </c>
      <c r="BW122" s="114">
        <f t="shared" si="63"/>
        <v>0.76589880651724729</v>
      </c>
      <c r="BX122" s="1695">
        <f t="shared" si="24"/>
        <v>18.383718586317492</v>
      </c>
      <c r="BY122" s="527">
        <f t="shared" si="64"/>
        <v>67.990896492118125</v>
      </c>
      <c r="BZ122" s="417">
        <f t="shared" si="65"/>
        <v>0.76589880651724729</v>
      </c>
      <c r="CA122" s="544">
        <f t="shared" si="25"/>
        <v>18.383718586317492</v>
      </c>
      <c r="CB122" s="649">
        <f t="shared" si="26"/>
        <v>0.36002784798689913</v>
      </c>
      <c r="CC122" s="525">
        <f t="shared" si="66"/>
        <v>0.40093007692232452</v>
      </c>
      <c r="CD122" s="417">
        <f t="shared" si="27"/>
        <v>0.36002784798689913</v>
      </c>
      <c r="CE122" s="525">
        <f t="shared" si="67"/>
        <v>0.40093007692232452</v>
      </c>
      <c r="CG122" s="527">
        <f t="shared" si="68"/>
        <v>1914.9746548544294</v>
      </c>
      <c r="CH122" s="528">
        <f t="shared" si="69"/>
        <v>843.25745789936332</v>
      </c>
      <c r="CI122" s="528">
        <f t="shared" si="70"/>
        <v>3211.5426845426491</v>
      </c>
      <c r="CJ122" s="528">
        <f t="shared" si="71"/>
        <v>4065.4093834752475</v>
      </c>
      <c r="CK122" s="528">
        <f t="shared" si="72"/>
        <v>48.93114420224866</v>
      </c>
      <c r="CL122" s="528">
        <f t="shared" si="73"/>
        <v>10084.115324973936</v>
      </c>
      <c r="CM122" s="646">
        <f t="shared" si="74"/>
        <v>0</v>
      </c>
    </row>
    <row r="123" spans="1:91">
      <c r="A123" s="873">
        <f>'Input data'!A143</f>
        <v>2043</v>
      </c>
      <c r="B123" s="1553">
        <f>'Input data'!B143</f>
        <v>72.713999999999999</v>
      </c>
      <c r="C123" s="1552">
        <f>'Input data'!C143</f>
        <v>5353.7899999999991</v>
      </c>
      <c r="D123" s="1552">
        <f>'Input data'!D143</f>
        <v>17102737.64872111</v>
      </c>
      <c r="E123" s="1457">
        <f t="shared" si="89"/>
        <v>1</v>
      </c>
      <c r="F123" s="1451">
        <f t="shared" si="89"/>
        <v>0.37</v>
      </c>
      <c r="G123" s="1556">
        <f>B123*F123*'Input data'!$C$9</f>
        <v>823.45791356653592</v>
      </c>
      <c r="H123" s="1544">
        <f>'Input data'!I143</f>
        <v>424.26313389388866</v>
      </c>
      <c r="I123" s="1511">
        <f>'Input data'!K143</f>
        <v>30849.869517960218</v>
      </c>
      <c r="J123" s="1511">
        <f t="shared" si="91"/>
        <v>2228.8083452440806</v>
      </c>
      <c r="K123" s="1513">
        <f t="shared" si="77"/>
        <v>12107.695141546736</v>
      </c>
      <c r="L123" s="1506">
        <f t="shared" si="90"/>
        <v>0.7</v>
      </c>
      <c r="M123" s="1506">
        <f t="shared" si="88"/>
        <v>0.6</v>
      </c>
      <c r="N123" s="1506">
        <f t="shared" si="88"/>
        <v>0.9</v>
      </c>
      <c r="O123" s="1506">
        <f t="shared" si="88"/>
        <v>0.9</v>
      </c>
      <c r="P123" s="1506">
        <f t="shared" si="88"/>
        <v>0.23600000000000002</v>
      </c>
      <c r="Q123" s="1510">
        <f t="shared" si="33"/>
        <v>330.32106129958584</v>
      </c>
      <c r="R123" s="1511">
        <f t="shared" si="34"/>
        <v>230.50830312904282</v>
      </c>
      <c r="S123" s="1511">
        <f t="shared" si="35"/>
        <v>675.02377169831425</v>
      </c>
      <c r="T123" s="1511">
        <f t="shared" si="36"/>
        <v>454.51875106286116</v>
      </c>
      <c r="U123" s="1513">
        <f t="shared" si="37"/>
        <v>0</v>
      </c>
      <c r="V123" s="1511">
        <f t="shared" si="38"/>
        <v>1690.3718871898041</v>
      </c>
      <c r="W123" s="1456">
        <f t="shared" si="87"/>
        <v>0.5</v>
      </c>
      <c r="X123" s="530">
        <f t="shared" si="39"/>
        <v>3033.4882588631699</v>
      </c>
      <c r="Y123" s="1510">
        <f t="shared" si="78"/>
        <v>4723.8601460529735</v>
      </c>
      <c r="Z123" s="1511">
        <f t="shared" si="79"/>
        <v>9612.6433407378427</v>
      </c>
      <c r="AA123" s="1513">
        <f t="shared" si="80"/>
        <v>7383.8349954937621</v>
      </c>
      <c r="AB123" s="1091">
        <f t="shared" si="40"/>
        <v>0.76813782991422186</v>
      </c>
      <c r="AC123" s="135" t="str">
        <f t="shared" si="41"/>
        <v>Yes</v>
      </c>
      <c r="AD123" s="1091">
        <f t="shared" si="42"/>
        <v>0.76813782991422186</v>
      </c>
      <c r="AE123" s="649">
        <f t="shared" si="10"/>
        <v>0.36200396083168174</v>
      </c>
      <c r="AF123" s="530">
        <f t="shared" si="43"/>
        <v>270.67819898943884</v>
      </c>
      <c r="AG123" s="528">
        <f t="shared" si="44"/>
        <v>2228.8083452440806</v>
      </c>
      <c r="AH123" s="528">
        <f t="shared" si="81"/>
        <v>10146.770383175188</v>
      </c>
      <c r="AI123" s="528">
        <f t="shared" si="82"/>
        <v>6437.663217588939</v>
      </c>
      <c r="AJ123" s="528">
        <f t="shared" si="11"/>
        <v>868.85261530984496</v>
      </c>
      <c r="AK123" s="528">
        <f t="shared" si="45"/>
        <v>19682.094561318056</v>
      </c>
      <c r="AL123" s="716">
        <f t="shared" si="12"/>
        <v>0</v>
      </c>
      <c r="AM123" s="417">
        <f t="shared" si="46"/>
        <v>0.11324040428219664</v>
      </c>
      <c r="AN123" s="417">
        <f t="shared" si="47"/>
        <v>0.51553305729548771</v>
      </c>
      <c r="AO123" s="417">
        <f t="shared" si="48"/>
        <v>0.32708222173879375</v>
      </c>
      <c r="AP123" s="417">
        <f t="shared" si="49"/>
        <v>4.4144316683521728E-2</v>
      </c>
      <c r="AQ123" s="417">
        <f t="shared" si="50"/>
        <v>0.99999999999999978</v>
      </c>
      <c r="AR123" s="1086">
        <f t="shared" si="13"/>
        <v>487.742852076389</v>
      </c>
      <c r="AS123" s="938">
        <f t="shared" si="14"/>
        <v>618.58988873264025</v>
      </c>
      <c r="AT123" s="938">
        <f t="shared" si="15"/>
        <v>119.52666932128442</v>
      </c>
      <c r="AU123" s="938">
        <f t="shared" si="16"/>
        <v>0</v>
      </c>
      <c r="AV123" s="938">
        <f t="shared" si="17"/>
        <v>0</v>
      </c>
      <c r="AW123" s="938">
        <f t="shared" si="18"/>
        <v>0</v>
      </c>
      <c r="AX123" s="938">
        <f t="shared" si="19"/>
        <v>834.73436728415231</v>
      </c>
      <c r="AY123" s="938">
        <f t="shared" si="20"/>
        <v>67.237402201487669</v>
      </c>
      <c r="AZ123" s="938">
        <f t="shared" si="21"/>
        <v>18.900451423925194</v>
      </c>
      <c r="BA123" s="938">
        <f t="shared" si="22"/>
        <v>48.816184494087906</v>
      </c>
      <c r="BB123" s="938">
        <f t="shared" si="23"/>
        <v>33.260529710112131</v>
      </c>
      <c r="BC123" s="530">
        <f t="shared" si="51"/>
        <v>2228.8083452440787</v>
      </c>
      <c r="BD123" s="724">
        <f t="shared" si="52"/>
        <v>0</v>
      </c>
      <c r="BE123" s="436">
        <f t="shared" si="53"/>
        <v>0.218835707932068</v>
      </c>
      <c r="BF123" s="624">
        <f t="shared" si="54"/>
        <v>0.27754288072934236</v>
      </c>
      <c r="BG123" s="624">
        <f t="shared" si="55"/>
        <v>5.3628060742115964E-2</v>
      </c>
      <c r="BH123" s="624">
        <f t="shared" si="56"/>
        <v>0</v>
      </c>
      <c r="BI123" s="624">
        <f t="shared" si="57"/>
        <v>0</v>
      </c>
      <c r="BJ123" s="624">
        <f t="shared" si="58"/>
        <v>0</v>
      </c>
      <c r="BK123" s="624">
        <f t="shared" si="59"/>
        <v>0.44999335059647372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68.38821081947502</v>
      </c>
      <c r="BW123" s="114">
        <f t="shared" si="63"/>
        <v>0.76725886195819992</v>
      </c>
      <c r="BX123" s="1695">
        <f t="shared" si="24"/>
        <v>17.10273764872111</v>
      </c>
      <c r="BY123" s="527">
        <f t="shared" si="64"/>
        <v>68.38821081947502</v>
      </c>
      <c r="BZ123" s="417">
        <f t="shared" si="65"/>
        <v>0.76725886195819992</v>
      </c>
      <c r="CA123" s="544">
        <f t="shared" si="25"/>
        <v>17.10273764872111</v>
      </c>
      <c r="CB123" s="649">
        <f t="shared" si="26"/>
        <v>0.36200396083168174</v>
      </c>
      <c r="CC123" s="525">
        <f t="shared" si="66"/>
        <v>0.40202615928386531</v>
      </c>
      <c r="CD123" s="417">
        <f t="shared" si="27"/>
        <v>0.36200396083168174</v>
      </c>
      <c r="CE123" s="525">
        <f t="shared" si="67"/>
        <v>0.40202615928386531</v>
      </c>
      <c r="CG123" s="527">
        <f t="shared" si="68"/>
        <v>1926.8728575809166</v>
      </c>
      <c r="CH123" s="528">
        <f t="shared" si="69"/>
        <v>848.49682133390024</v>
      </c>
      <c r="CI123" s="528">
        <f t="shared" si="70"/>
        <v>3231.4967794068243</v>
      </c>
      <c r="CJ123" s="528">
        <f t="shared" si="71"/>
        <v>4090.6687595657531</v>
      </c>
      <c r="CK123" s="528">
        <f t="shared" si="72"/>
        <v>49.235165287792277</v>
      </c>
      <c r="CL123" s="528">
        <f t="shared" si="73"/>
        <v>10146.770383175186</v>
      </c>
      <c r="CM123" s="646">
        <f t="shared" si="74"/>
        <v>0</v>
      </c>
    </row>
    <row r="124" spans="1:91">
      <c r="A124" s="873">
        <f>'Input data'!A144</f>
        <v>2044</v>
      </c>
      <c r="B124" s="1553">
        <f>'Input data'!B144</f>
        <v>73.165000000000006</v>
      </c>
      <c r="C124" s="1552">
        <f>'Input data'!C144</f>
        <v>5526.5000000000018</v>
      </c>
      <c r="D124" s="1552">
        <f>'Input data'!D144</f>
        <v>15821756.711124728</v>
      </c>
      <c r="E124" s="1457">
        <f t="shared" si="89"/>
        <v>1</v>
      </c>
      <c r="F124" s="1451">
        <f t="shared" si="89"/>
        <v>0.37</v>
      </c>
      <c r="G124" s="1556">
        <f>B124*F124*'Input data'!$C$9</f>
        <v>828.56531405362932</v>
      </c>
      <c r="H124" s="1544">
        <f>'Input data'!I144</f>
        <v>424.26313389388866</v>
      </c>
      <c r="I124" s="1511">
        <f>'Input data'!K144</f>
        <v>31041.212191346367</v>
      </c>
      <c r="J124" s="1511">
        <f t="shared" si="91"/>
        <v>2228.8083452440806</v>
      </c>
      <c r="K124" s="1513">
        <f t="shared" si="77"/>
        <v>12196.615611780016</v>
      </c>
      <c r="L124" s="1506">
        <f t="shared" si="90"/>
        <v>0.7</v>
      </c>
      <c r="M124" s="1506">
        <f t="shared" si="88"/>
        <v>0.6</v>
      </c>
      <c r="N124" s="1506">
        <f t="shared" si="88"/>
        <v>0.9</v>
      </c>
      <c r="O124" s="1506">
        <f t="shared" si="88"/>
        <v>0.9</v>
      </c>
      <c r="P124" s="1506">
        <f t="shared" si="88"/>
        <v>0.23600000000000002</v>
      </c>
      <c r="Q124" s="1510">
        <f t="shared" si="33"/>
        <v>332.36983868284256</v>
      </c>
      <c r="R124" s="1511">
        <f t="shared" si="34"/>
        <v>231.93800366416951</v>
      </c>
      <c r="S124" s="1511">
        <f t="shared" si="35"/>
        <v>679.21052694539094</v>
      </c>
      <c r="T124" s="1511">
        <f t="shared" si="36"/>
        <v>457.3378499534374</v>
      </c>
      <c r="U124" s="1513">
        <f t="shared" si="37"/>
        <v>0</v>
      </c>
      <c r="V124" s="1511">
        <f t="shared" si="38"/>
        <v>1700.8562192458403</v>
      </c>
      <c r="W124" s="1456">
        <f t="shared" si="87"/>
        <v>0.5</v>
      </c>
      <c r="X124" s="530">
        <f t="shared" si="39"/>
        <v>3033.4882588631699</v>
      </c>
      <c r="Y124" s="1510">
        <f t="shared" si="78"/>
        <v>4734.3444781090102</v>
      </c>
      <c r="Z124" s="1511">
        <f t="shared" si="79"/>
        <v>9691.0794789150859</v>
      </c>
      <c r="AA124" s="1513">
        <f t="shared" si="80"/>
        <v>7462.2711336710054</v>
      </c>
      <c r="AB124" s="1091">
        <f t="shared" si="40"/>
        <v>0.77001443955822402</v>
      </c>
      <c r="AC124" s="135" t="str">
        <f t="shared" si="41"/>
        <v>Yes</v>
      </c>
      <c r="AD124" s="1091">
        <f t="shared" si="42"/>
        <v>0.77001443955822402</v>
      </c>
      <c r="AE124" s="649">
        <f t="shared" si="10"/>
        <v>0.36396356748329273</v>
      </c>
      <c r="AF124" s="530">
        <f t="shared" si="43"/>
        <v>269.84681013022708</v>
      </c>
      <c r="AG124" s="528">
        <f t="shared" si="44"/>
        <v>2228.8083452440806</v>
      </c>
      <c r="AH124" s="528">
        <f t="shared" si="81"/>
        <v>10209.704528495375</v>
      </c>
      <c r="AI124" s="528">
        <f t="shared" si="82"/>
        <v>6437.663217588939</v>
      </c>
      <c r="AJ124" s="528">
        <f t="shared" si="11"/>
        <v>867.16577184967298</v>
      </c>
      <c r="AK124" s="528">
        <f t="shared" si="45"/>
        <v>19743.341863178066</v>
      </c>
      <c r="AL124" s="716">
        <f t="shared" si="12"/>
        <v>0</v>
      </c>
      <c r="AM124" s="417">
        <f t="shared" si="46"/>
        <v>0.11288911272923233</v>
      </c>
      <c r="AN124" s="417">
        <f t="shared" si="47"/>
        <v>0.51712139713980154</v>
      </c>
      <c r="AO124" s="417">
        <f t="shared" si="48"/>
        <v>0.32606755544234267</v>
      </c>
      <c r="AP124" s="417">
        <f t="shared" si="49"/>
        <v>4.3921934688623487E-2</v>
      </c>
      <c r="AQ124" s="417">
        <f t="shared" si="50"/>
        <v>1</v>
      </c>
      <c r="AR124" s="1086">
        <f t="shared" si="13"/>
        <v>488.70360281797099</v>
      </c>
      <c r="AS124" s="938">
        <f t="shared" si="14"/>
        <v>619.80838059121925</v>
      </c>
      <c r="AT124" s="938">
        <f t="shared" si="15"/>
        <v>119.29461295532771</v>
      </c>
      <c r="AU124" s="938">
        <f t="shared" si="16"/>
        <v>0</v>
      </c>
      <c r="AV124" s="938">
        <f t="shared" si="17"/>
        <v>0</v>
      </c>
      <c r="AW124" s="938">
        <f t="shared" si="18"/>
        <v>0</v>
      </c>
      <c r="AX124" s="938">
        <f t="shared" si="19"/>
        <v>833.113763071628</v>
      </c>
      <c r="AY124" s="938">
        <f t="shared" si="20"/>
        <v>67.106863407929339</v>
      </c>
      <c r="AZ124" s="938">
        <f t="shared" si="21"/>
        <v>18.863756934759905</v>
      </c>
      <c r="BA124" s="938">
        <f t="shared" si="22"/>
        <v>48.721409776128361</v>
      </c>
      <c r="BB124" s="938">
        <f t="shared" si="23"/>
        <v>33.195955689116239</v>
      </c>
      <c r="BC124" s="530">
        <f t="shared" si="51"/>
        <v>2228.8083452440796</v>
      </c>
      <c r="BD124" s="724">
        <f t="shared" si="52"/>
        <v>0</v>
      </c>
      <c r="BE124" s="436">
        <f t="shared" si="53"/>
        <v>0.21926676820857491</v>
      </c>
      <c r="BF124" s="624">
        <f t="shared" si="54"/>
        <v>0.27808958177754095</v>
      </c>
      <c r="BG124" s="624">
        <f t="shared" si="55"/>
        <v>5.3523943954123882E-2</v>
      </c>
      <c r="BH124" s="624">
        <f t="shared" si="56"/>
        <v>0</v>
      </c>
      <c r="BI124" s="624">
        <f t="shared" si="57"/>
        <v>0</v>
      </c>
      <c r="BJ124" s="624">
        <f t="shared" si="58"/>
        <v>0</v>
      </c>
      <c r="BK124" s="624">
        <f t="shared" si="59"/>
        <v>0.44911970605976026</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68.82178476224756</v>
      </c>
      <c r="BW124" s="114">
        <f t="shared" si="63"/>
        <v>0.76872511996378301</v>
      </c>
      <c r="BX124" s="1695">
        <f t="shared" si="24"/>
        <v>15.821756711124728</v>
      </c>
      <c r="BY124" s="527">
        <f t="shared" si="64"/>
        <v>68.82178476224756</v>
      </c>
      <c r="BZ124" s="417">
        <f t="shared" si="65"/>
        <v>0.76872511996378301</v>
      </c>
      <c r="CA124" s="544">
        <f t="shared" si="25"/>
        <v>15.821756711124728</v>
      </c>
      <c r="CB124" s="649">
        <f t="shared" si="26"/>
        <v>0.36396356748329273</v>
      </c>
      <c r="CC124" s="525">
        <f t="shared" si="66"/>
        <v>0.40327840761206057</v>
      </c>
      <c r="CD124" s="417">
        <f t="shared" si="27"/>
        <v>0.36396356748329273</v>
      </c>
      <c r="CE124" s="525">
        <f t="shared" si="67"/>
        <v>0.40327840761206057</v>
      </c>
      <c r="CG124" s="527">
        <f t="shared" si="68"/>
        <v>1938.8240589832467</v>
      </c>
      <c r="CH124" s="528">
        <f t="shared" si="69"/>
        <v>853.75952269019479</v>
      </c>
      <c r="CI124" s="528">
        <f t="shared" si="70"/>
        <v>3251.5397566534689</v>
      </c>
      <c r="CJ124" s="528">
        <f t="shared" si="71"/>
        <v>4116.0406495809384</v>
      </c>
      <c r="CK124" s="528">
        <f t="shared" si="72"/>
        <v>49.540540587525406</v>
      </c>
      <c r="CL124" s="528">
        <f t="shared" si="73"/>
        <v>10209.704528495375</v>
      </c>
      <c r="CM124" s="646">
        <f t="shared" si="74"/>
        <v>0</v>
      </c>
    </row>
    <row r="125" spans="1:91">
      <c r="A125" s="873">
        <f>'Input data'!A145</f>
        <v>2045</v>
      </c>
      <c r="B125" s="1553">
        <f>'Input data'!B145</f>
        <v>73.62</v>
      </c>
      <c r="C125" s="1552">
        <f>'Input data'!C145</f>
        <v>5709.93</v>
      </c>
      <c r="D125" s="1552">
        <f>'Input data'!D145</f>
        <v>14540775.773528345</v>
      </c>
      <c r="E125" s="1457">
        <f t="shared" si="89"/>
        <v>1</v>
      </c>
      <c r="F125" s="1451">
        <f t="shared" si="89"/>
        <v>0.37</v>
      </c>
      <c r="G125" s="1556">
        <f>B125*F125*'Input data'!$C$9</f>
        <v>833.71801299293634</v>
      </c>
      <c r="H125" s="1544">
        <f>'Input data'!I145</f>
        <v>424.26313389388866</v>
      </c>
      <c r="I125" s="1511">
        <f>'Input data'!K145</f>
        <v>31234.251917268084</v>
      </c>
      <c r="J125" s="1511">
        <f t="shared" si="91"/>
        <v>2228.8083452440806</v>
      </c>
      <c r="K125" s="1513">
        <f t="shared" si="77"/>
        <v>12286.324733633988</v>
      </c>
      <c r="L125" s="1506">
        <f t="shared" si="90"/>
        <v>0.7</v>
      </c>
      <c r="M125" s="1506">
        <f t="shared" si="88"/>
        <v>0.6</v>
      </c>
      <c r="N125" s="1506">
        <f t="shared" si="88"/>
        <v>0.9</v>
      </c>
      <c r="O125" s="1506">
        <f t="shared" si="88"/>
        <v>0.9</v>
      </c>
      <c r="P125" s="1506">
        <f t="shared" si="88"/>
        <v>0.23600000000000002</v>
      </c>
      <c r="Q125" s="1510">
        <f t="shared" si="33"/>
        <v>334.43678704067338</v>
      </c>
      <c r="R125" s="1511">
        <f t="shared" si="34"/>
        <v>233.38038447011763</v>
      </c>
      <c r="S125" s="1511">
        <f t="shared" si="35"/>
        <v>683.43441527669893</v>
      </c>
      <c r="T125" s="1511">
        <f t="shared" si="36"/>
        <v>460.18195193838665</v>
      </c>
      <c r="U125" s="1513">
        <f t="shared" si="37"/>
        <v>0</v>
      </c>
      <c r="V125" s="1511">
        <f t="shared" si="38"/>
        <v>1711.4335387258766</v>
      </c>
      <c r="W125" s="1456">
        <f t="shared" si="87"/>
        <v>0.5</v>
      </c>
      <c r="X125" s="530">
        <f t="shared" si="39"/>
        <v>3033.4882588631699</v>
      </c>
      <c r="Y125" s="1510">
        <f t="shared" si="78"/>
        <v>4744.921797589046</v>
      </c>
      <c r="Z125" s="1511">
        <f t="shared" si="79"/>
        <v>9770.2112812890227</v>
      </c>
      <c r="AA125" s="1513">
        <f t="shared" si="80"/>
        <v>7541.4029360449422</v>
      </c>
      <c r="AB125" s="1091">
        <f t="shared" si="40"/>
        <v>0.7718771599635228</v>
      </c>
      <c r="AC125" s="135" t="str">
        <f t="shared" si="41"/>
        <v>Yes</v>
      </c>
      <c r="AD125" s="1091">
        <f t="shared" si="42"/>
        <v>0.7718771599635228</v>
      </c>
      <c r="AE125" s="649">
        <f t="shared" si="10"/>
        <v>0.36591534586874086</v>
      </c>
      <c r="AF125" s="530">
        <f t="shared" si="43"/>
        <v>269.01874251575049</v>
      </c>
      <c r="AG125" s="528">
        <f t="shared" si="44"/>
        <v>2228.8083452440806</v>
      </c>
      <c r="AH125" s="528">
        <f t="shared" si="81"/>
        <v>10273.196848053434</v>
      </c>
      <c r="AI125" s="528">
        <f t="shared" si="82"/>
        <v>6437.663217588939</v>
      </c>
      <c r="AJ125" s="528">
        <f t="shared" si="11"/>
        <v>865.49141312309928</v>
      </c>
      <c r="AK125" s="528">
        <f t="shared" si="45"/>
        <v>19805.159824009552</v>
      </c>
      <c r="AL125" s="716">
        <f t="shared" si="12"/>
        <v>0</v>
      </c>
      <c r="AM125" s="417">
        <f t="shared" si="46"/>
        <v>0.11253675128347733</v>
      </c>
      <c r="AN125" s="417">
        <f t="shared" si="47"/>
        <v>0.51871315047906674</v>
      </c>
      <c r="AO125" s="417">
        <f t="shared" si="48"/>
        <v>0.32504979888042301</v>
      </c>
      <c r="AP125" s="417">
        <f t="shared" si="49"/>
        <v>4.3700299357032943E-2</v>
      </c>
      <c r="AQ125" s="417">
        <f t="shared" si="50"/>
        <v>0.99999999999999989</v>
      </c>
      <c r="AR125" s="1086">
        <f t="shared" si="13"/>
        <v>489.65724281255956</v>
      </c>
      <c r="AS125" s="938">
        <f t="shared" si="14"/>
        <v>621.01785409889226</v>
      </c>
      <c r="AT125" s="938">
        <f t="shared" si="15"/>
        <v>119.06427409427125</v>
      </c>
      <c r="AU125" s="938">
        <f t="shared" si="16"/>
        <v>0</v>
      </c>
      <c r="AV125" s="938">
        <f t="shared" si="17"/>
        <v>0</v>
      </c>
      <c r="AW125" s="938">
        <f t="shared" si="18"/>
        <v>0</v>
      </c>
      <c r="AX125" s="938">
        <f t="shared" si="19"/>
        <v>831.50515334012039</v>
      </c>
      <c r="AY125" s="938">
        <f t="shared" si="20"/>
        <v>66.977290763335247</v>
      </c>
      <c r="AZ125" s="938">
        <f t="shared" si="21"/>
        <v>18.827334030322273</v>
      </c>
      <c r="BA125" s="938">
        <f t="shared" si="22"/>
        <v>48.627336508619621</v>
      </c>
      <c r="BB125" s="938">
        <f t="shared" si="23"/>
        <v>33.131859595959249</v>
      </c>
      <c r="BC125" s="530">
        <f t="shared" si="51"/>
        <v>2228.8083452440792</v>
      </c>
      <c r="BD125" s="724">
        <f t="shared" si="52"/>
        <v>0</v>
      </c>
      <c r="BE125" s="436">
        <f t="shared" si="53"/>
        <v>0.21969463810444262</v>
      </c>
      <c r="BF125" s="624">
        <f t="shared" si="54"/>
        <v>0.27863223655997388</v>
      </c>
      <c r="BG125" s="624">
        <f t="shared" si="55"/>
        <v>5.3420597759486765E-2</v>
      </c>
      <c r="BH125" s="624">
        <f t="shared" si="56"/>
        <v>0</v>
      </c>
      <c r="BI125" s="624">
        <f t="shared" si="57"/>
        <v>0</v>
      </c>
      <c r="BJ125" s="624">
        <f t="shared" si="58"/>
        <v>0</v>
      </c>
      <c r="BK125" s="624">
        <f t="shared" si="59"/>
        <v>0.44825252757609702</v>
      </c>
      <c r="BL125" s="624">
        <f t="shared" si="60"/>
        <v>1.0000000000000004</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69.310843311365758</v>
      </c>
      <c r="BW125" s="114">
        <f t="shared" si="63"/>
        <v>0.7703569996506292</v>
      </c>
      <c r="BX125" s="1695">
        <f t="shared" si="24"/>
        <v>14.540775773528345</v>
      </c>
      <c r="BY125" s="527">
        <f t="shared" si="64"/>
        <v>69.310843311365758</v>
      </c>
      <c r="BZ125" s="417">
        <f t="shared" si="65"/>
        <v>0.7703569996506292</v>
      </c>
      <c r="CA125" s="544">
        <f t="shared" si="25"/>
        <v>14.540775773528345</v>
      </c>
      <c r="CB125" s="649">
        <f t="shared" si="26"/>
        <v>0.36591534586874086</v>
      </c>
      <c r="CC125" s="525">
        <f t="shared" si="66"/>
        <v>0.40476896254699657</v>
      </c>
      <c r="CD125" s="417">
        <f t="shared" si="27"/>
        <v>0.36591534586874086</v>
      </c>
      <c r="CE125" s="525">
        <f t="shared" si="67"/>
        <v>0.40476896254699657</v>
      </c>
      <c r="CG125" s="527">
        <f t="shared" si="68"/>
        <v>1950.8812577372598</v>
      </c>
      <c r="CH125" s="528">
        <f t="shared" si="69"/>
        <v>859.06889989000388</v>
      </c>
      <c r="CI125" s="528">
        <f t="shared" si="70"/>
        <v>3271.7604986650499</v>
      </c>
      <c r="CJ125" s="528">
        <f t="shared" si="71"/>
        <v>4141.6375674454812</v>
      </c>
      <c r="CK125" s="528">
        <f t="shared" si="72"/>
        <v>49.848624315637529</v>
      </c>
      <c r="CL125" s="528">
        <f t="shared" si="73"/>
        <v>10273.196848053431</v>
      </c>
      <c r="CM125" s="646">
        <f t="shared" si="74"/>
        <v>0</v>
      </c>
    </row>
    <row r="126" spans="1:91">
      <c r="A126" s="873">
        <f>'Input data'!A146</f>
        <v>2046</v>
      </c>
      <c r="B126" s="1553">
        <f>'Input data'!B146</f>
        <v>73.995000000000005</v>
      </c>
      <c r="C126" s="1552">
        <f>'Input data'!C146</f>
        <v>5902.43</v>
      </c>
      <c r="D126" s="1552">
        <f>'Input data'!D146</f>
        <v>13259794.835931966</v>
      </c>
      <c r="E126" s="1457">
        <f t="shared" si="89"/>
        <v>1</v>
      </c>
      <c r="F126" s="1451">
        <f t="shared" si="89"/>
        <v>0.37</v>
      </c>
      <c r="G126" s="1556">
        <f>B126*F126*'Input data'!$C$9</f>
        <v>837.96474288796969</v>
      </c>
      <c r="H126" s="1544">
        <f>'Input data'!I146</f>
        <v>424.26313389388866</v>
      </c>
      <c r="I126" s="1511">
        <f>'Input data'!K146</f>
        <v>31393.350592478295</v>
      </c>
      <c r="J126" s="1511">
        <f t="shared" si="91"/>
        <v>2228.8083452440806</v>
      </c>
      <c r="K126" s="1513">
        <f t="shared" si="77"/>
        <v>12360.260823074077</v>
      </c>
      <c r="L126" s="1506">
        <f t="shared" si="90"/>
        <v>0.7</v>
      </c>
      <c r="M126" s="1506">
        <f t="shared" si="88"/>
        <v>0.6</v>
      </c>
      <c r="N126" s="1506">
        <f t="shared" si="88"/>
        <v>0.9</v>
      </c>
      <c r="O126" s="1506">
        <f t="shared" si="88"/>
        <v>0.9</v>
      </c>
      <c r="P126" s="1506">
        <f t="shared" si="88"/>
        <v>0.23600000000000002</v>
      </c>
      <c r="Q126" s="1510">
        <f t="shared" si="33"/>
        <v>336.14031590701734</v>
      </c>
      <c r="R126" s="1511">
        <f t="shared" si="34"/>
        <v>234.56915985963542</v>
      </c>
      <c r="S126" s="1511">
        <f t="shared" si="35"/>
        <v>686.91564192338137</v>
      </c>
      <c r="T126" s="1511">
        <f t="shared" si="36"/>
        <v>462.52599203587215</v>
      </c>
      <c r="U126" s="1513">
        <f t="shared" si="37"/>
        <v>0</v>
      </c>
      <c r="V126" s="1511">
        <f t="shared" si="38"/>
        <v>1720.1511097259063</v>
      </c>
      <c r="W126" s="1456">
        <f t="shared" si="87"/>
        <v>0.5</v>
      </c>
      <c r="X126" s="530">
        <f t="shared" si="39"/>
        <v>3033.4882588631699</v>
      </c>
      <c r="Y126" s="1510">
        <f t="shared" si="78"/>
        <v>4753.6393685890762</v>
      </c>
      <c r="Z126" s="1511">
        <f t="shared" si="79"/>
        <v>9835.4297997290814</v>
      </c>
      <c r="AA126" s="1513">
        <f t="shared" si="80"/>
        <v>7606.6214544850009</v>
      </c>
      <c r="AB126" s="1091">
        <f t="shared" si="40"/>
        <v>0.7733898374928696</v>
      </c>
      <c r="AC126" s="135" t="str">
        <f t="shared" si="41"/>
        <v>Yes</v>
      </c>
      <c r="AD126" s="1091">
        <f t="shared" si="42"/>
        <v>0.7733898374928696</v>
      </c>
      <c r="AE126" s="649">
        <f t="shared" si="10"/>
        <v>0.36750526556588536</v>
      </c>
      <c r="AF126" s="530">
        <f t="shared" si="43"/>
        <v>268.34419820240032</v>
      </c>
      <c r="AG126" s="528">
        <f t="shared" si="44"/>
        <v>2228.8083452440806</v>
      </c>
      <c r="AH126" s="528">
        <f t="shared" si="81"/>
        <v>10325.525682854031</v>
      </c>
      <c r="AI126" s="528">
        <f t="shared" si="82"/>
        <v>6437.663217588939</v>
      </c>
      <c r="AJ126" s="528">
        <f t="shared" si="11"/>
        <v>864.13170029955938</v>
      </c>
      <c r="AK126" s="528">
        <f t="shared" si="45"/>
        <v>19856.128945986613</v>
      </c>
      <c r="AL126" s="716">
        <f t="shared" si="12"/>
        <v>0</v>
      </c>
      <c r="AM126" s="417">
        <f t="shared" si="46"/>
        <v>0.11224787829022306</v>
      </c>
      <c r="AN126" s="417">
        <f t="shared" si="47"/>
        <v>0.52001705422753419</v>
      </c>
      <c r="AO126" s="417">
        <f t="shared" si="48"/>
        <v>0.32421542160110423</v>
      </c>
      <c r="AP126" s="417">
        <f t="shared" si="49"/>
        <v>4.3519645881138408E-2</v>
      </c>
      <c r="AQ126" s="417">
        <f t="shared" si="50"/>
        <v>1</v>
      </c>
      <c r="AR126" s="1086">
        <f t="shared" si="13"/>
        <v>490.43167454519966</v>
      </c>
      <c r="AS126" s="938">
        <f t="shared" si="14"/>
        <v>622.00004304801894</v>
      </c>
      <c r="AT126" s="938">
        <f t="shared" si="15"/>
        <v>118.87722056854393</v>
      </c>
      <c r="AU126" s="938">
        <f t="shared" si="16"/>
        <v>0</v>
      </c>
      <c r="AV126" s="938">
        <f t="shared" si="17"/>
        <v>0</v>
      </c>
      <c r="AW126" s="938">
        <f t="shared" si="18"/>
        <v>0</v>
      </c>
      <c r="AX126" s="938">
        <f t="shared" si="19"/>
        <v>830.19883394434942</v>
      </c>
      <c r="AY126" s="938">
        <f t="shared" si="20"/>
        <v>66.872067441929588</v>
      </c>
      <c r="AZ126" s="938">
        <f t="shared" si="21"/>
        <v>18.797755727030154</v>
      </c>
      <c r="BA126" s="938">
        <f t="shared" si="22"/>
        <v>48.550941512640705</v>
      </c>
      <c r="BB126" s="938">
        <f t="shared" si="23"/>
        <v>33.079808456367026</v>
      </c>
      <c r="BC126" s="530">
        <f t="shared" si="51"/>
        <v>2228.8083452440792</v>
      </c>
      <c r="BD126" s="724">
        <f t="shared" si="52"/>
        <v>0</v>
      </c>
      <c r="BE126" s="436">
        <f t="shared" si="53"/>
        <v>0.22004210258441578</v>
      </c>
      <c r="BF126" s="624">
        <f t="shared" si="54"/>
        <v>0.2790729155224439</v>
      </c>
      <c r="BG126" s="624">
        <f t="shared" si="55"/>
        <v>5.3336672407122365E-2</v>
      </c>
      <c r="BH126" s="624">
        <f t="shared" si="56"/>
        <v>0</v>
      </c>
      <c r="BI126" s="624">
        <f t="shared" si="57"/>
        <v>0</v>
      </c>
      <c r="BJ126" s="624">
        <f t="shared" si="58"/>
        <v>0</v>
      </c>
      <c r="BK126" s="624">
        <f t="shared" si="59"/>
        <v>0.44754830948601804</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69.835514728969443</v>
      </c>
      <c r="BW126" s="114">
        <f t="shared" si="63"/>
        <v>0.77208229828991981</v>
      </c>
      <c r="BX126" s="1695">
        <f t="shared" si="24"/>
        <v>13.259794835931967</v>
      </c>
      <c r="BY126" s="527">
        <f t="shared" si="64"/>
        <v>69.835514728969443</v>
      </c>
      <c r="BZ126" s="417">
        <f t="shared" si="65"/>
        <v>0.77208229828991981</v>
      </c>
      <c r="CA126" s="544">
        <f t="shared" si="25"/>
        <v>13.259794835931967</v>
      </c>
      <c r="CB126" s="649">
        <f t="shared" si="26"/>
        <v>0.36750526556588536</v>
      </c>
      <c r="CC126" s="525">
        <f t="shared" si="66"/>
        <v>0.40644373321612515</v>
      </c>
      <c r="CD126" s="417">
        <f t="shared" si="27"/>
        <v>0.36750526556588536</v>
      </c>
      <c r="CE126" s="525">
        <f t="shared" si="67"/>
        <v>0.40644373321612515</v>
      </c>
      <c r="CG126" s="527">
        <f t="shared" si="68"/>
        <v>1960.8185094576004</v>
      </c>
      <c r="CH126" s="528">
        <f t="shared" si="69"/>
        <v>863.44476021951698</v>
      </c>
      <c r="CI126" s="528">
        <f t="shared" si="70"/>
        <v>3288.4259453778918</v>
      </c>
      <c r="CJ126" s="528">
        <f t="shared" si="71"/>
        <v>4162.733928322853</v>
      </c>
      <c r="CK126" s="528">
        <f t="shared" si="72"/>
        <v>50.102539476169511</v>
      </c>
      <c r="CL126" s="528">
        <f t="shared" si="73"/>
        <v>10325.525682854031</v>
      </c>
      <c r="CM126" s="646">
        <f t="shared" si="74"/>
        <v>0</v>
      </c>
    </row>
    <row r="127" spans="1:91" s="1" customFormat="1">
      <c r="A127" s="873">
        <f>'Input data'!A147</f>
        <v>2047</v>
      </c>
      <c r="B127" s="1553">
        <f>'Input data'!B147</f>
        <v>74.373000000000005</v>
      </c>
      <c r="C127" s="1552">
        <f>'Input data'!C147</f>
        <v>6104.119999999999</v>
      </c>
      <c r="D127" s="1552">
        <f>'Input data'!D147</f>
        <v>11978813.898335585</v>
      </c>
      <c r="E127" s="1457">
        <f t="shared" si="89"/>
        <v>1</v>
      </c>
      <c r="F127" s="1451">
        <f t="shared" si="89"/>
        <v>0.37</v>
      </c>
      <c r="G127" s="1556">
        <f>B127*F127*'Input data'!$C$9</f>
        <v>842.24544662216317</v>
      </c>
      <c r="H127" s="1544">
        <f>'Input data'!I147</f>
        <v>424.26313389388866</v>
      </c>
      <c r="I127" s="1511">
        <f>'Input data'!K147</f>
        <v>31553.722057090185</v>
      </c>
      <c r="J127" s="1511">
        <f t="shared" si="91"/>
        <v>2228.8083452440806</v>
      </c>
      <c r="K127" s="1513">
        <f t="shared" si="77"/>
        <v>12434.788401229685</v>
      </c>
      <c r="L127" s="1506">
        <f t="shared" si="90"/>
        <v>0.7</v>
      </c>
      <c r="M127" s="1506">
        <f t="shared" si="90"/>
        <v>0.6</v>
      </c>
      <c r="N127" s="1506">
        <f t="shared" si="90"/>
        <v>0.9</v>
      </c>
      <c r="O127" s="1506">
        <f t="shared" si="90"/>
        <v>0.9</v>
      </c>
      <c r="P127" s="1506">
        <f t="shared" si="90"/>
        <v>0.23600000000000002</v>
      </c>
      <c r="Q127" s="1510">
        <f t="shared" si="33"/>
        <v>337.85747300429216</v>
      </c>
      <c r="R127" s="1511">
        <f t="shared" si="34"/>
        <v>235.76744545226916</v>
      </c>
      <c r="S127" s="1511">
        <f t="shared" si="35"/>
        <v>690.42471838323763</v>
      </c>
      <c r="T127" s="1511">
        <f t="shared" si="36"/>
        <v>464.88878445413729</v>
      </c>
      <c r="U127" s="1513">
        <f t="shared" si="37"/>
        <v>0</v>
      </c>
      <c r="V127" s="1511">
        <f t="shared" si="38"/>
        <v>1728.9384212939362</v>
      </c>
      <c r="W127" s="1456">
        <f t="shared" si="87"/>
        <v>0.5</v>
      </c>
      <c r="X127" s="530">
        <f t="shared" si="39"/>
        <v>3033.4882588631699</v>
      </c>
      <c r="Y127" s="1510">
        <f t="shared" si="78"/>
        <v>4762.4266801571066</v>
      </c>
      <c r="Z127" s="1511">
        <f t="shared" si="79"/>
        <v>9901.1700663166594</v>
      </c>
      <c r="AA127" s="1513">
        <f t="shared" si="80"/>
        <v>7672.3617210725788</v>
      </c>
      <c r="AB127" s="1091">
        <f t="shared" si="40"/>
        <v>0.77489444880596614</v>
      </c>
      <c r="AC127" s="135" t="str">
        <f t="shared" si="41"/>
        <v>Yes</v>
      </c>
      <c r="AD127" s="1091">
        <f t="shared" si="42"/>
        <v>0.77489444880596614</v>
      </c>
      <c r="AE127" s="649">
        <f t="shared" si="10"/>
        <v>0.36909110395378564</v>
      </c>
      <c r="AF127" s="530">
        <f t="shared" si="43"/>
        <v>267.67138543810051</v>
      </c>
      <c r="AG127" s="528">
        <f t="shared" si="44"/>
        <v>2228.8083452440806</v>
      </c>
      <c r="AH127" s="528">
        <f t="shared" si="81"/>
        <v>10378.273148333035</v>
      </c>
      <c r="AI127" s="528">
        <f t="shared" si="82"/>
        <v>6437.663217588939</v>
      </c>
      <c r="AJ127" s="528">
        <f t="shared" si="11"/>
        <v>862.77923802179725</v>
      </c>
      <c r="AK127" s="528">
        <f t="shared" si="45"/>
        <v>19907.523949187853</v>
      </c>
      <c r="AL127" s="716">
        <f t="shared" si="12"/>
        <v>0</v>
      </c>
      <c r="AM127" s="417">
        <f t="shared" si="46"/>
        <v>0.1119580893602294</v>
      </c>
      <c r="AN127" s="417">
        <f t="shared" si="47"/>
        <v>0.52132415738002547</v>
      </c>
      <c r="AO127" s="417">
        <f t="shared" si="48"/>
        <v>0.32337839874112367</v>
      </c>
      <c r="AP127" s="417">
        <f t="shared" si="49"/>
        <v>4.3339354518621344E-2</v>
      </c>
      <c r="AQ127" s="417">
        <f t="shared" si="50"/>
        <v>1</v>
      </c>
      <c r="AR127" s="1086">
        <f t="shared" si="13"/>
        <v>491.20197669059826</v>
      </c>
      <c r="AS127" s="938">
        <f t="shared" si="14"/>
        <v>622.97699456331839</v>
      </c>
      <c r="AT127" s="938">
        <f t="shared" si="15"/>
        <v>118.69116448884168</v>
      </c>
      <c r="AU127" s="938">
        <f t="shared" si="16"/>
        <v>0</v>
      </c>
      <c r="AV127" s="938">
        <f t="shared" si="17"/>
        <v>0</v>
      </c>
      <c r="AW127" s="938">
        <f t="shared" si="18"/>
        <v>0</v>
      </c>
      <c r="AX127" s="938">
        <f t="shared" si="19"/>
        <v>828.89948037872659</v>
      </c>
      <c r="AY127" s="938">
        <f t="shared" si="20"/>
        <v>66.767405214378172</v>
      </c>
      <c r="AZ127" s="938">
        <f t="shared" si="21"/>
        <v>18.768335147367765</v>
      </c>
      <c r="BA127" s="938">
        <f t="shared" si="22"/>
        <v>48.474953886075419</v>
      </c>
      <c r="BB127" s="938">
        <f t="shared" si="23"/>
        <v>33.028034874773702</v>
      </c>
      <c r="BC127" s="530">
        <f t="shared" si="51"/>
        <v>2228.8083452440801</v>
      </c>
      <c r="BD127" s="724">
        <f t="shared" si="52"/>
        <v>0</v>
      </c>
      <c r="BE127" s="436">
        <f t="shared" si="53"/>
        <v>0.22038771424144413</v>
      </c>
      <c r="BF127" s="624">
        <f t="shared" si="54"/>
        <v>0.27951124460416327</v>
      </c>
      <c r="BG127" s="624">
        <f t="shared" si="55"/>
        <v>5.3253194579116508E-2</v>
      </c>
      <c r="BH127" s="624">
        <f t="shared" si="56"/>
        <v>0</v>
      </c>
      <c r="BI127" s="624">
        <f t="shared" si="57"/>
        <v>0</v>
      </c>
      <c r="BJ127" s="624">
        <f t="shared" si="58"/>
        <v>0</v>
      </c>
      <c r="BK127" s="624">
        <f t="shared" si="59"/>
        <v>0.4468478465752761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70.407688443503332</v>
      </c>
      <c r="BW127" s="114">
        <f t="shared" si="63"/>
        <v>0.77393448973205392</v>
      </c>
      <c r="BX127" s="1695">
        <f t="shared" si="24"/>
        <v>11.978813898335586</v>
      </c>
      <c r="BY127" s="527">
        <f t="shared" si="64"/>
        <v>70.407688443503332</v>
      </c>
      <c r="BZ127" s="417">
        <f t="shared" si="65"/>
        <v>0.77393448973205392</v>
      </c>
      <c r="CA127" s="544">
        <f t="shared" si="25"/>
        <v>11.978813898335586</v>
      </c>
      <c r="CB127" s="649">
        <f t="shared" si="26"/>
        <v>0.36909110395378564</v>
      </c>
      <c r="CC127" s="525">
        <f t="shared" si="66"/>
        <v>0.40829241148702333</v>
      </c>
      <c r="CD127" s="417">
        <f t="shared" si="27"/>
        <v>0.36909110395378564</v>
      </c>
      <c r="CE127" s="525">
        <f t="shared" si="67"/>
        <v>0.40829241148702333</v>
      </c>
      <c r="CG127" s="527">
        <f t="shared" si="68"/>
        <v>1970.8352591917037</v>
      </c>
      <c r="CH127" s="528">
        <f t="shared" si="69"/>
        <v>867.85562743166622</v>
      </c>
      <c r="CI127" s="528">
        <f t="shared" si="70"/>
        <v>3305.2247156644357</v>
      </c>
      <c r="CJ127" s="528">
        <f t="shared" si="71"/>
        <v>4183.9990600872434</v>
      </c>
      <c r="CK127" s="528">
        <f t="shared" si="72"/>
        <v>50.358485957985742</v>
      </c>
      <c r="CL127" s="528">
        <f t="shared" si="73"/>
        <v>10378.273148333035</v>
      </c>
      <c r="CM127" s="646">
        <f t="shared" si="74"/>
        <v>0</v>
      </c>
    </row>
    <row r="128" spans="1:91">
      <c r="A128" s="873">
        <f>'Input data'!A148</f>
        <v>2048</v>
      </c>
      <c r="B128" s="1553">
        <f>'Input data'!B148</f>
        <v>74.753</v>
      </c>
      <c r="C128" s="1552">
        <f>'Input data'!C148</f>
        <v>6308.13</v>
      </c>
      <c r="D128" s="1552">
        <f>'Input data'!D148</f>
        <v>10697832.960739207</v>
      </c>
      <c r="E128" s="1457">
        <f t="shared" ref="E128:F130" si="93">E127</f>
        <v>1</v>
      </c>
      <c r="F128" s="1451">
        <f t="shared" si="93"/>
        <v>0.37</v>
      </c>
      <c r="G128" s="1556">
        <f>B128*F128*'Input data'!$C$9</f>
        <v>846.54879958246352</v>
      </c>
      <c r="H128" s="1544">
        <f>'Input data'!I148</f>
        <v>424.26313389388866</v>
      </c>
      <c r="I128" s="1511">
        <f>'Input data'!K148</f>
        <v>31714.94204796986</v>
      </c>
      <c r="J128" s="1511">
        <f t="shared" si="91"/>
        <v>2228.8083452440806</v>
      </c>
      <c r="K128" s="1513">
        <f t="shared" si="77"/>
        <v>12509.710305195642</v>
      </c>
      <c r="L128" s="1506">
        <f t="shared" ref="L128:P130" si="94">L127</f>
        <v>0.7</v>
      </c>
      <c r="M128" s="1506">
        <f t="shared" si="94"/>
        <v>0.6</v>
      </c>
      <c r="N128" s="1506">
        <f t="shared" si="94"/>
        <v>0.9</v>
      </c>
      <c r="O128" s="1506">
        <f t="shared" si="94"/>
        <v>0.9</v>
      </c>
      <c r="P128" s="1506">
        <f t="shared" si="94"/>
        <v>0.23600000000000002</v>
      </c>
      <c r="Q128" s="1510">
        <f t="shared" si="33"/>
        <v>339.58371558885415</v>
      </c>
      <c r="R128" s="1511">
        <f t="shared" si="34"/>
        <v>236.97207118031383</v>
      </c>
      <c r="S128" s="1511">
        <f t="shared" si="35"/>
        <v>693.95236138520886</v>
      </c>
      <c r="T128" s="1511">
        <f t="shared" si="36"/>
        <v>467.26407841958962</v>
      </c>
      <c r="U128" s="1513">
        <f t="shared" si="37"/>
        <v>0</v>
      </c>
      <c r="V128" s="1511">
        <f t="shared" si="38"/>
        <v>1737.7722265739665</v>
      </c>
      <c r="W128" s="1456">
        <f t="shared" si="87"/>
        <v>0.5</v>
      </c>
      <c r="X128" s="530">
        <f t="shared" si="39"/>
        <v>3033.4882588631699</v>
      </c>
      <c r="Y128" s="1510">
        <f t="shared" si="78"/>
        <v>4771.2604854371366</v>
      </c>
      <c r="Z128" s="1511">
        <f t="shared" si="79"/>
        <v>9967.2581650025859</v>
      </c>
      <c r="AA128" s="1513">
        <f t="shared" si="80"/>
        <v>7738.4498197585053</v>
      </c>
      <c r="AB128" s="1091">
        <f t="shared" si="40"/>
        <v>0.77638701553151734</v>
      </c>
      <c r="AC128" s="135" t="str">
        <f t="shared" si="41"/>
        <v>Yes</v>
      </c>
      <c r="AD128" s="1091">
        <f t="shared" si="42"/>
        <v>0.77638701553151734</v>
      </c>
      <c r="AE128" s="649">
        <f t="shared" si="10"/>
        <v>0.37066860043647532</v>
      </c>
      <c r="AF128" s="530">
        <f t="shared" si="43"/>
        <v>267.00211183664806</v>
      </c>
      <c r="AG128" s="528">
        <f t="shared" si="44"/>
        <v>2228.8083452440806</v>
      </c>
      <c r="AH128" s="528">
        <f t="shared" si="81"/>
        <v>10431.299700930973</v>
      </c>
      <c r="AI128" s="528">
        <f t="shared" si="82"/>
        <v>6437.663217588939</v>
      </c>
      <c r="AJ128" s="528">
        <f t="shared" si="11"/>
        <v>861.43760236095864</v>
      </c>
      <c r="AK128" s="528">
        <f t="shared" si="45"/>
        <v>19959.208866124951</v>
      </c>
      <c r="AL128" s="716">
        <f t="shared" si="12"/>
        <v>0</v>
      </c>
      <c r="AM128" s="417">
        <f t="shared" si="46"/>
        <v>0.11166817082749433</v>
      </c>
      <c r="AN128" s="417">
        <f t="shared" si="47"/>
        <v>0.52263092043869142</v>
      </c>
      <c r="AO128" s="417">
        <f t="shared" si="48"/>
        <v>0.32254100153814369</v>
      </c>
      <c r="AP128" s="417">
        <f t="shared" si="49"/>
        <v>4.3159907195670595E-2</v>
      </c>
      <c r="AQ128" s="417">
        <f t="shared" si="50"/>
        <v>1</v>
      </c>
      <c r="AR128" s="1086">
        <f t="shared" si="13"/>
        <v>491.96611247824927</v>
      </c>
      <c r="AS128" s="938">
        <f t="shared" si="14"/>
        <v>623.94612546876897</v>
      </c>
      <c r="AT128" s="938">
        <f t="shared" si="15"/>
        <v>118.5065978095718</v>
      </c>
      <c r="AU128" s="938">
        <f t="shared" si="16"/>
        <v>0</v>
      </c>
      <c r="AV128" s="938">
        <f t="shared" si="17"/>
        <v>0</v>
      </c>
      <c r="AW128" s="938">
        <f t="shared" si="18"/>
        <v>0</v>
      </c>
      <c r="AX128" s="938">
        <f t="shared" si="19"/>
        <v>827.61052828864558</v>
      </c>
      <c r="AY128" s="938">
        <f t="shared" si="20"/>
        <v>66.663580820060716</v>
      </c>
      <c r="AZ128" s="938">
        <f t="shared" si="21"/>
        <v>18.739150082847701</v>
      </c>
      <c r="BA128" s="938">
        <f t="shared" si="22"/>
        <v>48.399574549247333</v>
      </c>
      <c r="BB128" s="938">
        <f t="shared" si="23"/>
        <v>32.976675746687803</v>
      </c>
      <c r="BC128" s="530">
        <f t="shared" si="51"/>
        <v>2228.8083452440792</v>
      </c>
      <c r="BD128" s="724">
        <f t="shared" si="52"/>
        <v>0</v>
      </c>
      <c r="BE128" s="436">
        <f t="shared" si="53"/>
        <v>0.22073055923719342</v>
      </c>
      <c r="BF128" s="624">
        <f t="shared" si="54"/>
        <v>0.27994606481089784</v>
      </c>
      <c r="BG128" s="624">
        <f t="shared" si="55"/>
        <v>5.3170385000776733E-2</v>
      </c>
      <c r="BH128" s="624">
        <f t="shared" si="56"/>
        <v>0</v>
      </c>
      <c r="BI128" s="624">
        <f t="shared" si="57"/>
        <v>0</v>
      </c>
      <c r="BJ128" s="624">
        <f t="shared" si="58"/>
        <v>0</v>
      </c>
      <c r="BK128" s="624">
        <f t="shared" si="59"/>
        <v>0.44615299095113192</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70.992036433518251</v>
      </c>
      <c r="BW128" s="114">
        <f t="shared" si="63"/>
        <v>0.7757952748732222</v>
      </c>
      <c r="BX128" s="1695">
        <f t="shared" si="24"/>
        <v>10.697832960739207</v>
      </c>
      <c r="BY128" s="527">
        <f t="shared" si="64"/>
        <v>70.992036433518251</v>
      </c>
      <c r="BZ128" s="417">
        <f t="shared" si="65"/>
        <v>0.7757952748732222</v>
      </c>
      <c r="CA128" s="544">
        <f t="shared" si="25"/>
        <v>10.697832960739207</v>
      </c>
      <c r="CB128" s="649">
        <f t="shared" si="26"/>
        <v>0.37066860043647532</v>
      </c>
      <c r="CC128" s="525">
        <f t="shared" si="66"/>
        <v>0.41014498466469618</v>
      </c>
      <c r="CD128" s="417">
        <f t="shared" si="27"/>
        <v>0.37066860043647532</v>
      </c>
      <c r="CE128" s="525">
        <f t="shared" si="67"/>
        <v>0.41014498466469618</v>
      </c>
      <c r="CG128" s="527">
        <f t="shared" si="68"/>
        <v>1980.9050076016488</v>
      </c>
      <c r="CH128" s="528">
        <f t="shared" si="69"/>
        <v>872.28983256557274</v>
      </c>
      <c r="CI128" s="528">
        <f t="shared" si="70"/>
        <v>3322.1123683334486</v>
      </c>
      <c r="CJ128" s="528">
        <f t="shared" si="71"/>
        <v>4205.3767057763116</v>
      </c>
      <c r="CK128" s="528">
        <f t="shared" si="72"/>
        <v>50.615786653991478</v>
      </c>
      <c r="CL128" s="528">
        <f t="shared" si="73"/>
        <v>10431.299700930973</v>
      </c>
      <c r="CM128" s="646">
        <f t="shared" si="74"/>
        <v>0</v>
      </c>
    </row>
    <row r="129" spans="1:91">
      <c r="A129" s="127">
        <f>'Input data'!A149</f>
        <v>2049</v>
      </c>
      <c r="B129" s="662">
        <f>'Input data'!B149</f>
        <v>75.134</v>
      </c>
      <c r="C129" s="236">
        <f>'Input data'!C149</f>
        <v>6522.2000000000007</v>
      </c>
      <c r="D129" s="1552">
        <f>'Input data'!D149</f>
        <v>9416852.0231428221</v>
      </c>
      <c r="E129" s="1457">
        <f t="shared" si="93"/>
        <v>1</v>
      </c>
      <c r="F129" s="1451">
        <f t="shared" si="93"/>
        <v>0.37</v>
      </c>
      <c r="G129" s="1556">
        <f>B129*F129*'Input data'!$C$9</f>
        <v>850.86347715581735</v>
      </c>
      <c r="H129" s="1544">
        <f>'Input data'!I149</f>
        <v>424.26313389388866</v>
      </c>
      <c r="I129" s="1511">
        <f>'Input data'!K149</f>
        <v>31876.586301983432</v>
      </c>
      <c r="J129" s="1511">
        <f t="shared" si="91"/>
        <v>2228.8083452440806</v>
      </c>
      <c r="K129" s="1513">
        <f t="shared" si="77"/>
        <v>12584.829372066772</v>
      </c>
      <c r="L129" s="1506">
        <f t="shared" si="94"/>
        <v>0.7</v>
      </c>
      <c r="M129" s="1506">
        <f t="shared" si="94"/>
        <v>0.6</v>
      </c>
      <c r="N129" s="1506">
        <f t="shared" si="94"/>
        <v>0.9</v>
      </c>
      <c r="O129" s="1506">
        <f t="shared" si="94"/>
        <v>0.9</v>
      </c>
      <c r="P129" s="1506">
        <f t="shared" si="94"/>
        <v>0.23600000000000002</v>
      </c>
      <c r="Q129" s="1510">
        <f t="shared" si="33"/>
        <v>341.31450091705983</v>
      </c>
      <c r="R129" s="1511">
        <f t="shared" si="34"/>
        <v>238.17986697606386</v>
      </c>
      <c r="S129" s="1511">
        <f t="shared" si="35"/>
        <v>697.48928765823848</v>
      </c>
      <c r="T129" s="1511">
        <f t="shared" si="36"/>
        <v>469.64562315863486</v>
      </c>
      <c r="U129" s="1513">
        <f t="shared" si="37"/>
        <v>0</v>
      </c>
      <c r="V129" s="1511">
        <f t="shared" si="38"/>
        <v>1746.6292787099969</v>
      </c>
      <c r="W129" s="1456">
        <f t="shared" si="87"/>
        <v>0.5</v>
      </c>
      <c r="X129" s="530">
        <f t="shared" si="39"/>
        <v>3033.4882588631699</v>
      </c>
      <c r="Y129" s="1510">
        <f t="shared" si="78"/>
        <v>4780.1175375731673</v>
      </c>
      <c r="Z129" s="1511">
        <f t="shared" si="79"/>
        <v>10033.520179737685</v>
      </c>
      <c r="AA129" s="1513">
        <f t="shared" si="80"/>
        <v>7804.7118344936043</v>
      </c>
      <c r="AB129" s="1091">
        <f t="shared" si="40"/>
        <v>0.77786377011080565</v>
      </c>
      <c r="AC129" s="135" t="str">
        <f t="shared" si="41"/>
        <v>Yes</v>
      </c>
      <c r="AD129" s="1091">
        <f t="shared" si="42"/>
        <v>0.77786377011080565</v>
      </c>
      <c r="AE129" s="649">
        <f t="shared" si="10"/>
        <v>0.37223367175394073</v>
      </c>
      <c r="AF129" s="530">
        <f t="shared" si="43"/>
        <v>266.33810977473274</v>
      </c>
      <c r="AG129" s="528">
        <f t="shared" si="44"/>
        <v>2228.8083452440806</v>
      </c>
      <c r="AH129" s="528">
        <f t="shared" si="81"/>
        <v>10484.465797088382</v>
      </c>
      <c r="AI129" s="528">
        <f t="shared" si="82"/>
        <v>6437.663217588939</v>
      </c>
      <c r="AJ129" s="528">
        <f t="shared" si="11"/>
        <v>860.11017989336506</v>
      </c>
      <c r="AK129" s="528">
        <f t="shared" si="45"/>
        <v>20011.047539814768</v>
      </c>
      <c r="AL129" s="716">
        <f t="shared" si="12"/>
        <v>0</v>
      </c>
      <c r="AM129" s="417">
        <f t="shared" si="46"/>
        <v>0.11137889412383613</v>
      </c>
      <c r="AN129" s="417">
        <f t="shared" si="47"/>
        <v>0.52393388083397807</v>
      </c>
      <c r="AO129" s="417">
        <f t="shared" si="48"/>
        <v>0.32170545818654972</v>
      </c>
      <c r="AP129" s="417">
        <f t="shared" si="49"/>
        <v>4.2981766855635914E-2</v>
      </c>
      <c r="AQ129" s="417">
        <f t="shared" si="50"/>
        <v>0.99999999999999989</v>
      </c>
      <c r="AR129" s="1086">
        <f t="shared" si="13"/>
        <v>492.72215306544388</v>
      </c>
      <c r="AS129" s="938">
        <f t="shared" si="14"/>
        <v>624.90498946999207</v>
      </c>
      <c r="AT129" s="938">
        <f t="shared" si="15"/>
        <v>118.32398641664051</v>
      </c>
      <c r="AU129" s="938">
        <f t="shared" si="16"/>
        <v>0</v>
      </c>
      <c r="AV129" s="938">
        <f t="shared" si="17"/>
        <v>0</v>
      </c>
      <c r="AW129" s="938">
        <f t="shared" si="18"/>
        <v>0</v>
      </c>
      <c r="AX129" s="938">
        <f t="shared" si="19"/>
        <v>826.33523126578928</v>
      </c>
      <c r="AY129" s="938">
        <f t="shared" si="20"/>
        <v>66.560856334029168</v>
      </c>
      <c r="AZ129" s="938">
        <f t="shared" si="21"/>
        <v>18.710274202835688</v>
      </c>
      <c r="BA129" s="938">
        <f t="shared" si="22"/>
        <v>48.324993775779227</v>
      </c>
      <c r="BB129" s="938">
        <f t="shared" si="23"/>
        <v>32.925860713570216</v>
      </c>
      <c r="BC129" s="530">
        <f t="shared" si="51"/>
        <v>2228.8083452440801</v>
      </c>
      <c r="BD129" s="724">
        <f t="shared" si="52"/>
        <v>0</v>
      </c>
      <c r="BE129" s="436">
        <f t="shared" si="53"/>
        <v>0.22106977215732077</v>
      </c>
      <c r="BF129" s="624">
        <f t="shared" si="54"/>
        <v>0.28037627856313407</v>
      </c>
      <c r="BG129" s="624">
        <f t="shared" si="55"/>
        <v>5.3088452701249497E-2</v>
      </c>
      <c r="BH129" s="624">
        <f t="shared" si="56"/>
        <v>0</v>
      </c>
      <c r="BI129" s="624">
        <f t="shared" si="57"/>
        <v>0</v>
      </c>
      <c r="BJ129" s="624">
        <f t="shared" si="58"/>
        <v>0</v>
      </c>
      <c r="BK129" s="624">
        <f t="shared" si="59"/>
        <v>0.44546549657829565</v>
      </c>
      <c r="BL129" s="624">
        <f t="shared" si="60"/>
        <v>1</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71.628071231646388</v>
      </c>
      <c r="BW129" s="114">
        <f t="shared" si="63"/>
        <v>0.77778614248466738</v>
      </c>
      <c r="BX129" s="1695">
        <f t="shared" si="24"/>
        <v>9.4168520231428214</v>
      </c>
      <c r="BY129" s="527">
        <f t="shared" si="64"/>
        <v>71.628071231646388</v>
      </c>
      <c r="BZ129" s="417">
        <f t="shared" si="65"/>
        <v>0.77778614248466738</v>
      </c>
      <c r="CA129" s="544">
        <f t="shared" si="25"/>
        <v>9.4168520231428214</v>
      </c>
      <c r="CB129" s="649">
        <f t="shared" si="26"/>
        <v>0.37223367175394073</v>
      </c>
      <c r="CC129" s="525">
        <f t="shared" si="66"/>
        <v>0.41217095711394036</v>
      </c>
      <c r="CD129" s="417">
        <f t="shared" si="27"/>
        <v>0.37223367175394073</v>
      </c>
      <c r="CE129" s="525">
        <f t="shared" si="67"/>
        <v>0.41217095711394036</v>
      </c>
      <c r="CG129" s="527">
        <f t="shared" si="68"/>
        <v>1991.0012553495148</v>
      </c>
      <c r="CH129" s="528">
        <f t="shared" si="69"/>
        <v>876.73570666035789</v>
      </c>
      <c r="CI129" s="528">
        <f t="shared" si="70"/>
        <v>3339.0444621936954</v>
      </c>
      <c r="CJ129" s="528">
        <f t="shared" si="71"/>
        <v>4226.8106084277215</v>
      </c>
      <c r="CK129" s="528">
        <f t="shared" si="72"/>
        <v>50.873764457091966</v>
      </c>
      <c r="CL129" s="528">
        <f t="shared" si="73"/>
        <v>10484.46579708838</v>
      </c>
      <c r="CM129" s="646">
        <f t="shared" si="74"/>
        <v>0</v>
      </c>
    </row>
    <row r="130" spans="1:91" ht="15" thickBot="1">
      <c r="A130" s="172">
        <f>'Input data'!A150</f>
        <v>2050</v>
      </c>
      <c r="B130" s="664">
        <f>'Input data'!B150</f>
        <v>75.518000000000001</v>
      </c>
      <c r="C130" s="239">
        <f>'Input data'!C150</f>
        <v>6747.1300000000019</v>
      </c>
      <c r="D130" s="239">
        <f>'Input data'!D150</f>
        <v>8135871.0855464395</v>
      </c>
      <c r="E130" s="1006">
        <f t="shared" si="93"/>
        <v>1</v>
      </c>
      <c r="F130" s="797">
        <f t="shared" si="93"/>
        <v>0.37</v>
      </c>
      <c r="G130" s="1007">
        <f>B130*F130*'Input data'!$C$9</f>
        <v>855.21212856833142</v>
      </c>
      <c r="H130" s="654">
        <f>'Input data'!I150</f>
        <v>424.26313389388866</v>
      </c>
      <c r="I130" s="667">
        <f>'Input data'!K150</f>
        <v>32039.503345398683</v>
      </c>
      <c r="J130" s="667">
        <f t="shared" si="91"/>
        <v>2228.8083452440806</v>
      </c>
      <c r="K130" s="659">
        <f t="shared" si="77"/>
        <v>12660.539927653419</v>
      </c>
      <c r="L130" s="651">
        <f t="shared" si="94"/>
        <v>0.7</v>
      </c>
      <c r="M130" s="651">
        <f t="shared" si="94"/>
        <v>0.6</v>
      </c>
      <c r="N130" s="651">
        <f t="shared" si="94"/>
        <v>0.9</v>
      </c>
      <c r="O130" s="651">
        <f t="shared" si="94"/>
        <v>0.9</v>
      </c>
      <c r="P130" s="651">
        <f t="shared" si="94"/>
        <v>0.23600000000000002</v>
      </c>
      <c r="Q130" s="670">
        <f t="shared" si="33"/>
        <v>343.05891447619615</v>
      </c>
      <c r="R130" s="667">
        <f t="shared" si="34"/>
        <v>239.39717297492996</v>
      </c>
      <c r="S130" s="667">
        <f t="shared" si="35"/>
        <v>701.05406374444101</v>
      </c>
      <c r="T130" s="667">
        <f t="shared" si="36"/>
        <v>472.04592021846065</v>
      </c>
      <c r="U130" s="659">
        <f t="shared" si="37"/>
        <v>0</v>
      </c>
      <c r="V130" s="667">
        <f t="shared" si="38"/>
        <v>1755.5560714140279</v>
      </c>
      <c r="W130" s="650">
        <f t="shared" si="87"/>
        <v>0.5</v>
      </c>
      <c r="X130" s="659">
        <f t="shared" si="39"/>
        <v>3033.4882588631699</v>
      </c>
      <c r="Y130" s="670">
        <f t="shared" si="78"/>
        <v>4789.0443302771982</v>
      </c>
      <c r="Z130" s="667">
        <f t="shared" si="79"/>
        <v>10100.303942620301</v>
      </c>
      <c r="AA130" s="659">
        <f t="shared" si="80"/>
        <v>7871.4955973762208</v>
      </c>
      <c r="AB130" s="1094">
        <f t="shared" si="40"/>
        <v>0.77933254702968224</v>
      </c>
      <c r="AC130" s="1105" t="str">
        <f t="shared" si="41"/>
        <v>Yes</v>
      </c>
      <c r="AD130" s="1094">
        <f t="shared" si="42"/>
        <v>0.77933254702968224</v>
      </c>
      <c r="AE130" s="650">
        <f t="shared" si="10"/>
        <v>0.37379453736104118</v>
      </c>
      <c r="AF130" s="659">
        <f t="shared" si="43"/>
        <v>265.67589204067707</v>
      </c>
      <c r="AG130" s="667">
        <f t="shared" si="44"/>
        <v>2228.8083452440806</v>
      </c>
      <c r="AH130" s="667">
        <f t="shared" si="81"/>
        <v>10538.050523924194</v>
      </c>
      <c r="AI130" s="667">
        <f t="shared" si="82"/>
        <v>6437.663217588939</v>
      </c>
      <c r="AJ130" s="667">
        <f t="shared" si="11"/>
        <v>858.78992837063765</v>
      </c>
      <c r="AK130" s="667">
        <f t="shared" si="45"/>
        <v>20063.312015127853</v>
      </c>
      <c r="AL130" s="717">
        <f t="shared" si="12"/>
        <v>0</v>
      </c>
      <c r="AM130" s="651">
        <f t="shared" si="46"/>
        <v>0.11108875461656312</v>
      </c>
      <c r="AN130" s="651">
        <f t="shared" si="47"/>
        <v>0.52523982660382507</v>
      </c>
      <c r="AO130" s="651">
        <f t="shared" si="48"/>
        <v>0.3208674227233721</v>
      </c>
      <c r="AP130" s="651">
        <f t="shared" si="49"/>
        <v>4.2803996056239621E-2</v>
      </c>
      <c r="AQ130" s="651">
        <f t="shared" si="50"/>
        <v>0.99999999999999989</v>
      </c>
      <c r="AR130" s="1476">
        <f t="shared" si="13"/>
        <v>493.47410940252166</v>
      </c>
      <c r="AS130" s="1477">
        <f t="shared" si="14"/>
        <v>625.85867353712842</v>
      </c>
      <c r="AT130" s="1477">
        <f t="shared" si="15"/>
        <v>118.14236151916387</v>
      </c>
      <c r="AU130" s="1477">
        <f t="shared" si="16"/>
        <v>0</v>
      </c>
      <c r="AV130" s="1477">
        <f t="shared" si="17"/>
        <v>0</v>
      </c>
      <c r="AW130" s="1477">
        <f t="shared" si="18"/>
        <v>0</v>
      </c>
      <c r="AX130" s="1477">
        <f t="shared" si="19"/>
        <v>825.06682359795161</v>
      </c>
      <c r="AY130" s="1477">
        <f t="shared" si="20"/>
        <v>66.458686781821399</v>
      </c>
      <c r="AZ130" s="1477">
        <f t="shared" si="21"/>
        <v>18.681554314867427</v>
      </c>
      <c r="BA130" s="1477">
        <f t="shared" si="22"/>
        <v>48.250815899374743</v>
      </c>
      <c r="BB130" s="1477">
        <f t="shared" si="23"/>
        <v>32.87532019125063</v>
      </c>
      <c r="BC130" s="659">
        <f t="shared" si="51"/>
        <v>2228.8083452440796</v>
      </c>
      <c r="BD130" s="725">
        <f t="shared" si="52"/>
        <v>0</v>
      </c>
      <c r="BE130" s="683">
        <f t="shared" si="53"/>
        <v>0.22140715259592259</v>
      </c>
      <c r="BF130" s="683">
        <f>AS130/BC130</f>
        <v>0.28080416823304288</v>
      </c>
      <c r="BG130" s="683">
        <f t="shared" si="55"/>
        <v>5.3006963012885683E-2</v>
      </c>
      <c r="BH130" s="683">
        <f t="shared" si="56"/>
        <v>0</v>
      </c>
      <c r="BI130" s="683">
        <f t="shared" si="57"/>
        <v>0</v>
      </c>
      <c r="BJ130" s="683">
        <f t="shared" si="58"/>
        <v>0</v>
      </c>
      <c r="BK130" s="683">
        <f t="shared" si="59"/>
        <v>0.44478171615814888</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72.320162938532434</v>
      </c>
      <c r="BW130" s="651">
        <f t="shared" si="63"/>
        <v>0.77991269145375974</v>
      </c>
      <c r="BX130" s="1696">
        <f t="shared" si="24"/>
        <v>8.1358710855464391</v>
      </c>
      <c r="BY130" s="670">
        <f t="shared" si="64"/>
        <v>72.320162938532434</v>
      </c>
      <c r="BZ130" s="651">
        <f t="shared" si="65"/>
        <v>0.77991269145375974</v>
      </c>
      <c r="CA130" s="675">
        <f t="shared" si="25"/>
        <v>8.1358710855464391</v>
      </c>
      <c r="CB130" s="650">
        <f t="shared" si="26"/>
        <v>0.37379453736104118</v>
      </c>
      <c r="CC130" s="652">
        <f t="shared" si="66"/>
        <v>0.41437174149669154</v>
      </c>
      <c r="CD130" s="651">
        <f t="shared" si="27"/>
        <v>0.37379453736104118</v>
      </c>
      <c r="CE130" s="652">
        <f t="shared" si="67"/>
        <v>0.41437174149669154</v>
      </c>
      <c r="CG130" s="670">
        <f t="shared" si="68"/>
        <v>2001.1770011111435</v>
      </c>
      <c r="CH130" s="667">
        <f t="shared" si="69"/>
        <v>881.2165876377793</v>
      </c>
      <c r="CI130" s="667">
        <f t="shared" si="70"/>
        <v>3356.1098796276447</v>
      </c>
      <c r="CJ130" s="667">
        <f t="shared" si="71"/>
        <v>4248.4132819661481</v>
      </c>
      <c r="CK130" s="667">
        <f t="shared" si="72"/>
        <v>51.133773581476703</v>
      </c>
      <c r="CL130" s="667">
        <f t="shared" si="73"/>
        <v>10538.050523924192</v>
      </c>
      <c r="CM130" s="653">
        <f t="shared" si="74"/>
        <v>0</v>
      </c>
    </row>
    <row r="131" spans="1:91">
      <c r="AM131" s="528"/>
      <c r="AN131" s="623"/>
      <c r="AO131" s="623"/>
      <c r="AP131" s="623"/>
      <c r="AS131" s="114"/>
    </row>
    <row r="132" spans="1:91" ht="23.4">
      <c r="A132" s="686" t="s">
        <v>663</v>
      </c>
      <c r="AM132" s="528"/>
      <c r="AO132" s="623"/>
      <c r="AS132" s="114"/>
    </row>
    <row r="133" spans="1:91" ht="15" thickBot="1">
      <c r="AM133" s="528"/>
    </row>
    <row r="134" spans="1:91" ht="21.6" customHeight="1" thickBot="1">
      <c r="A134" s="1873" t="s">
        <v>602</v>
      </c>
      <c r="B134" s="1874"/>
      <c r="C134" s="1874"/>
      <c r="D134" s="1875"/>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43.2" customHeight="1">
      <c r="A135" s="1868"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69"/>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56.521999999999998</v>
      </c>
      <c r="C137" s="236">
        <f>'Input data'!C117</f>
        <v>3120.54</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v>
      </c>
      <c r="C138" s="236">
        <f>'Input data'!C118</f>
        <v>3152.24</v>
      </c>
      <c r="D138" s="1513">
        <f>'Input data'!D118</f>
        <v>50172070.130067617</v>
      </c>
      <c r="E138" s="527">
        <f>'Input data'!J118*C138</f>
        <v>37887.937398629729</v>
      </c>
      <c r="F138" s="528">
        <f>'Input data'!L118</f>
        <v>88060.007528697344</v>
      </c>
      <c r="G138" s="528">
        <f>G137*0.94</f>
        <v>64333.325846758482</v>
      </c>
      <c r="H138" s="528">
        <f>E138*$B$12+I138*$E$80-G138</f>
        <v>4491.135057742722</v>
      </c>
      <c r="I138" s="530">
        <f t="shared" ref="I138:I170" si="98">D138/1000</f>
        <v>50172.070130067616</v>
      </c>
      <c r="J138" s="649">
        <f>($J$150-$J$137)/($A$150-$A$137)+J137</f>
        <v>8.7582527933999524E-2</v>
      </c>
      <c r="K138" s="775">
        <f>(I138)*J138-(I138)*$J$137</f>
        <v>1306.2192765294853</v>
      </c>
      <c r="L138" s="775">
        <f t="shared" ref="L138:L170" si="99">(E138)*$C$12*$G$12-(E138)*$C$12*$G$12</f>
        <v>0</v>
      </c>
      <c r="M138" s="530">
        <f>L138+K138</f>
        <v>1306.2192765294853</v>
      </c>
      <c r="N138" s="649">
        <v>0.05</v>
      </c>
      <c r="O138" s="530">
        <f t="shared" ref="O138:O170" si="100">N138*$E$137*($C$85)*$B$12</f>
        <v>75.191700000000026</v>
      </c>
      <c r="P138" s="1212">
        <f>O138+M138</f>
        <v>1381.4109765294854</v>
      </c>
      <c r="Q138" s="1366">
        <f t="shared" ref="Q138:Q170" si="101">E138*$B$12+(1-$J$137)*I138-P138</f>
        <v>67443.049927971719</v>
      </c>
      <c r="R138" s="1366">
        <f>Q138-G138</f>
        <v>3109.7240812132368</v>
      </c>
      <c r="S138" s="1516">
        <f t="shared" ref="S138:S170" si="102">R138/(Q138-I138*(1-J138))</f>
        <v>0.14353559855285578</v>
      </c>
      <c r="T138" s="135" t="str">
        <f t="shared" ref="T138:T170" si="103">IF(AND(S138&gt;=0,S138&lt;=1),"Yes","No")</f>
        <v>Yes</v>
      </c>
      <c r="U138" s="1516">
        <f t="shared" ref="U138:U170" si="104">IF(S138&lt;=0,0,IF(S138&gt;=1,1,S138))</f>
        <v>0.14353559855285578</v>
      </c>
      <c r="V138" s="1541">
        <f t="shared" si="96"/>
        <v>84950.283447484122</v>
      </c>
      <c r="W138" s="1542">
        <f t="shared" si="97"/>
        <v>3.5313693110914368E-2</v>
      </c>
      <c r="X138" s="527">
        <f t="shared" ref="X138:X170" si="105">(E138*$B$12-O138-L138)*(1-U138)+I138*(1-J138)</f>
        <v>64333.325846758482</v>
      </c>
      <c r="Y138" s="1511">
        <f t="shared" ref="Y138:Y170" si="106">I138*J138+E138*$G$12*$C$12</f>
        <v>7428.192334688978</v>
      </c>
      <c r="Z138" s="1511">
        <f t="shared" ref="Z138:Z170" si="107">($C$12*$H$12*E138+O138)</f>
        <v>1787.3285316252955</v>
      </c>
      <c r="AA138" s="1511">
        <f t="shared" ref="AA138:AA170" si="108">$F$137*$D$11</f>
        <v>0</v>
      </c>
      <c r="AB138" s="1511">
        <f t="shared" ref="AB138:AB170" si="109">E138*$E$12</f>
        <v>11401.436734411351</v>
      </c>
      <c r="AC138" s="1511">
        <f t="shared" ref="AC138:AC170" si="110">SUM(X138:AB138)</f>
        <v>84950.283447484122</v>
      </c>
      <c r="AD138" s="1537">
        <f t="shared" ref="AD138:AD170" si="111">X138-G138</f>
        <v>0</v>
      </c>
      <c r="AE138" s="1506">
        <f t="shared" ref="AE138:AE170" si="112">X138/AC138</f>
        <v>0.75730560553725579</v>
      </c>
      <c r="AF138" s="1506">
        <f t="shared" ref="AF138:AF170" si="113">Y138/AC138</f>
        <v>8.74416427260193E-2</v>
      </c>
      <c r="AG138" s="1506">
        <f t="shared" ref="AG138:AG170" si="114">Z138/AC138</f>
        <v>2.1039700623603143E-2</v>
      </c>
      <c r="AH138" s="1506">
        <f>AA138/AC138</f>
        <v>0</v>
      </c>
      <c r="AI138" s="1506">
        <f t="shared" ref="AI138:AI169" si="115">AB138/AC138</f>
        <v>0.13421305111312157</v>
      </c>
      <c r="AJ138" s="1543">
        <f t="shared" ref="AJ138:AJ170" si="116">SUM(AE138:AI138)</f>
        <v>0.99999999999999978</v>
      </c>
      <c r="AK138" s="1557">
        <f t="shared" ref="AK138:AK170" si="117">I138*(1-$J$137)-K138</f>
        <v>45777.873396394389</v>
      </c>
      <c r="AL138" s="1558">
        <f t="shared" ref="AL138:AL170" si="118">(E138*$C$86*$B$12-L138)*(1-U138)</f>
        <v>17318.787232577462</v>
      </c>
      <c r="AM138" s="1558">
        <f t="shared" ref="AM138:AM170" si="119">(E138*($C$85)*$B$12-O138)*(1-U138)</f>
        <v>1236.6652177866376</v>
      </c>
      <c r="AN138" s="1558">
        <f t="shared" ref="AN138:AN170" si="120">SUM(AK138:AM138)</f>
        <v>64333.325846758482</v>
      </c>
      <c r="AO138" s="1545">
        <f t="shared" ref="AO138:AO170" si="121">AN138-X138</f>
        <v>0</v>
      </c>
      <c r="AV138" s="561"/>
      <c r="AW138" s="561"/>
    </row>
    <row r="139" spans="1:91">
      <c r="A139" s="127">
        <f>'Input data'!A119</f>
        <v>2019</v>
      </c>
      <c r="B139" s="662">
        <f>'Input data'!B119</f>
        <v>58.365000000000002</v>
      </c>
      <c r="C139" s="236">
        <f>'Input data'!C119</f>
        <v>3179.2899999999995</v>
      </c>
      <c r="D139" s="1513">
        <f>'Input data'!D119</f>
        <v>49847473.41597119</v>
      </c>
      <c r="E139" s="527">
        <f>'Input data'!J119*C139</f>
        <v>38213.061344342277</v>
      </c>
      <c r="F139" s="528">
        <f>'Input data'!L119</f>
        <v>88060.534760313458</v>
      </c>
      <c r="G139" s="528">
        <f>G137*0.89</f>
        <v>60911.340429377713</v>
      </c>
      <c r="H139" s="528">
        <f t="shared" si="95"/>
        <v>7795.0603895827808</v>
      </c>
      <c r="I139" s="530">
        <f t="shared" si="98"/>
        <v>49847.473415971188</v>
      </c>
      <c r="J139" s="649">
        <f t="shared" ref="J139:J149" si="122">($J$150-$J$137)/($A$150-$A$137)+J138</f>
        <v>0.11361731727283289</v>
      </c>
      <c r="K139" s="775">
        <f t="shared" ref="K139:K170" si="123">(I139)*J139-(I139)*$J$137</f>
        <v>2595.5369389158132</v>
      </c>
      <c r="L139" s="775">
        <f t="shared" si="99"/>
        <v>0</v>
      </c>
      <c r="M139" s="530">
        <f t="shared" ref="M139:M170" si="124">L139+K139</f>
        <v>2595.5369389158132</v>
      </c>
      <c r="N139" s="1456">
        <v>0.1</v>
      </c>
      <c r="O139" s="530">
        <f t="shared" si="100"/>
        <v>150.38340000000005</v>
      </c>
      <c r="P139" s="1212">
        <f>O139+M139</f>
        <v>2745.9203389158133</v>
      </c>
      <c r="Q139" s="1366">
        <f t="shared" si="101"/>
        <v>65960.480480044687</v>
      </c>
      <c r="R139" s="1366">
        <f t="shared" ref="R139:R170" si="125">Q139-G139</f>
        <v>5049.1400506669743</v>
      </c>
      <c r="S139" s="1516">
        <f t="shared" si="102"/>
        <v>0.23186141110153705</v>
      </c>
      <c r="T139" s="135" t="str">
        <f t="shared" si="103"/>
        <v>Yes</v>
      </c>
      <c r="U139" s="1516">
        <f t="shared" si="104"/>
        <v>0.23186141110153705</v>
      </c>
      <c r="V139" s="1541">
        <f t="shared" si="96"/>
        <v>83011.394709646513</v>
      </c>
      <c r="W139" s="1542">
        <f t="shared" si="97"/>
        <v>5.7337149546160315E-2</v>
      </c>
      <c r="X139" s="527">
        <f t="shared" si="105"/>
        <v>60911.340429377713</v>
      </c>
      <c r="Y139" s="1511">
        <f t="shared" si="106"/>
        <v>8723.5671246015063</v>
      </c>
      <c r="Z139" s="1511">
        <f t="shared" si="107"/>
        <v>1877.2124191793723</v>
      </c>
      <c r="AA139" s="1511">
        <f t="shared" si="108"/>
        <v>0</v>
      </c>
      <c r="AB139" s="1511">
        <f t="shared" si="109"/>
        <v>11499.274736487914</v>
      </c>
      <c r="AC139" s="1511">
        <f t="shared" si="110"/>
        <v>83011.394709646513</v>
      </c>
      <c r="AD139" s="1537">
        <f t="shared" si="111"/>
        <v>0</v>
      </c>
      <c r="AE139" s="1506">
        <f t="shared" si="112"/>
        <v>0.73377083522606301</v>
      </c>
      <c r="AF139" s="1506">
        <f t="shared" si="113"/>
        <v>0.10508879118480545</v>
      </c>
      <c r="AG139" s="1506">
        <f t="shared" si="114"/>
        <v>2.2613912532675792E-2</v>
      </c>
      <c r="AH139" s="1506">
        <f t="shared" ref="AH139:AH170" si="126">AA139/AC139</f>
        <v>0</v>
      </c>
      <c r="AI139" s="1506">
        <f t="shared" si="115"/>
        <v>0.13852646105645564</v>
      </c>
      <c r="AJ139" s="1543">
        <f t="shared" si="116"/>
        <v>0.99999999999999978</v>
      </c>
      <c r="AK139" s="1557">
        <f t="shared" si="117"/>
        <v>44183.937213619683</v>
      </c>
      <c r="AL139" s="1558">
        <f t="shared" si="118"/>
        <v>15666.017668085971</v>
      </c>
      <c r="AM139" s="1558">
        <f t="shared" si="119"/>
        <v>1061.3855476720448</v>
      </c>
      <c r="AN139" s="1558">
        <f t="shared" si="120"/>
        <v>60911.340429377698</v>
      </c>
      <c r="AO139" s="1545">
        <f t="shared" si="121"/>
        <v>0</v>
      </c>
      <c r="AV139" s="561"/>
      <c r="AW139" s="561"/>
    </row>
    <row r="140" spans="1:91">
      <c r="A140" s="127">
        <f>'Input data'!A120</f>
        <v>2020</v>
      </c>
      <c r="B140" s="662">
        <f>'Input data'!B120</f>
        <v>59.308999999999997</v>
      </c>
      <c r="C140" s="236">
        <f>'Input data'!C120</f>
        <v>2948.9199999999987</v>
      </c>
      <c r="D140" s="1513">
        <f>'Input data'!D120</f>
        <v>47586944.933914557</v>
      </c>
      <c r="E140" s="527">
        <f>'Input data'!J120*C140</f>
        <v>35444.159186345947</v>
      </c>
      <c r="F140" s="528">
        <f>'Input data'!L120</f>
        <v>83031.104120260512</v>
      </c>
      <c r="G140" s="528">
        <f>G137*0.81</f>
        <v>55436.163761568481</v>
      </c>
      <c r="H140" s="528">
        <f t="shared" si="95"/>
        <v>9560.0232193156335</v>
      </c>
      <c r="I140" s="530">
        <f t="shared" si="98"/>
        <v>47586.944933914558</v>
      </c>
      <c r="J140" s="649">
        <f t="shared" si="122"/>
        <v>0.13965210661166627</v>
      </c>
      <c r="K140" s="775">
        <f t="shared" si="123"/>
        <v>3716.7482598993884</v>
      </c>
      <c r="L140" s="775">
        <f t="shared" si="99"/>
        <v>0</v>
      </c>
      <c r="M140" s="530">
        <f t="shared" si="124"/>
        <v>3716.7482598993884</v>
      </c>
      <c r="N140" s="1456">
        <f>($N$142-$N$137)/($A$102-$A$97)+N139</f>
        <v>0.2</v>
      </c>
      <c r="O140" s="530">
        <f t="shared" si="100"/>
        <v>300.7668000000001</v>
      </c>
      <c r="P140" s="1212">
        <f t="shared" ref="P140:P170" si="127">O140+M140</f>
        <v>4017.5150598993887</v>
      </c>
      <c r="Q140" s="1366">
        <f t="shared" si="101"/>
        <v>60978.671920984729</v>
      </c>
      <c r="R140" s="1366">
        <f t="shared" si="125"/>
        <v>5542.5081594162475</v>
      </c>
      <c r="S140" s="1516">
        <f t="shared" si="102"/>
        <v>0.27660892248646951</v>
      </c>
      <c r="T140" s="135" t="str">
        <f t="shared" si="103"/>
        <v>Yes</v>
      </c>
      <c r="U140" s="1516">
        <f t="shared" si="104"/>
        <v>0.27660892248646951</v>
      </c>
      <c r="V140" s="1541">
        <f t="shared" si="96"/>
        <v>77488.59596084425</v>
      </c>
      <c r="W140" s="1542">
        <f t="shared" si="97"/>
        <v>6.6752191460547228E-2</v>
      </c>
      <c r="X140" s="527">
        <f t="shared" si="105"/>
        <v>55436.163761568474</v>
      </c>
      <c r="Y140" s="1511">
        <f t="shared" si="106"/>
        <v>9483.9194914905984</v>
      </c>
      <c r="Z140" s="1511">
        <f t="shared" si="107"/>
        <v>1902.4705235478471</v>
      </c>
      <c r="AA140" s="1511">
        <f t="shared" si="108"/>
        <v>0</v>
      </c>
      <c r="AB140" s="1511">
        <f t="shared" si="109"/>
        <v>10666.04218423734</v>
      </c>
      <c r="AC140" s="1511">
        <f t="shared" si="110"/>
        <v>77488.59596084425</v>
      </c>
      <c r="AD140" s="1537">
        <f t="shared" si="111"/>
        <v>0</v>
      </c>
      <c r="AE140" s="1506">
        <f t="shared" si="112"/>
        <v>0.71541061073788093</v>
      </c>
      <c r="AF140" s="1506">
        <f t="shared" si="113"/>
        <v>0.12239116445319149</v>
      </c>
      <c r="AG140" s="1506">
        <f t="shared" si="114"/>
        <v>2.4551619499070341E-2</v>
      </c>
      <c r="AH140" s="1506">
        <f t="shared" si="126"/>
        <v>0</v>
      </c>
      <c r="AI140" s="1506">
        <f t="shared" si="115"/>
        <v>0.13764660530985742</v>
      </c>
      <c r="AJ140" s="1543">
        <f t="shared" si="116"/>
        <v>1.0000000000000002</v>
      </c>
      <c r="AK140" s="1557">
        <f t="shared" si="117"/>
        <v>40941.327826680026</v>
      </c>
      <c r="AL140" s="1558">
        <f t="shared" si="118"/>
        <v>13684.376780586761</v>
      </c>
      <c r="AM140" s="1558">
        <f t="shared" si="119"/>
        <v>810.45915430168679</v>
      </c>
      <c r="AN140" s="1558">
        <f t="shared" si="120"/>
        <v>55436.163761568474</v>
      </c>
      <c r="AO140" s="1545">
        <f t="shared" si="121"/>
        <v>0</v>
      </c>
      <c r="AV140" s="561"/>
      <c r="AW140" s="561"/>
    </row>
    <row r="141" spans="1:91">
      <c r="A141" s="127">
        <f>'Input data'!A121</f>
        <v>2021</v>
      </c>
      <c r="B141" s="1553">
        <f>'Input data'!B121</f>
        <v>59.991999999999997</v>
      </c>
      <c r="C141" s="1552">
        <f>'Input data'!C121</f>
        <v>3014.38</v>
      </c>
      <c r="D141" s="1513">
        <f>'Input data'!D121</f>
        <v>47328556.831579238</v>
      </c>
      <c r="E141" s="527">
        <f>'Input data'!J121*C141</f>
        <v>36230.947115600815</v>
      </c>
      <c r="F141" s="528">
        <f>'Input data'!L121</f>
        <v>83559.503947180056</v>
      </c>
      <c r="G141" s="528">
        <f>G137*0.65</f>
        <v>44485.810425950018</v>
      </c>
      <c r="H141" s="528">
        <f t="shared" si="95"/>
        <v>20719.356171508938</v>
      </c>
      <c r="I141" s="530">
        <f t="shared" si="98"/>
        <v>47328.556831579241</v>
      </c>
      <c r="J141" s="649">
        <f t="shared" si="122"/>
        <v>0.16568689595049965</v>
      </c>
      <c r="K141" s="775">
        <f t="shared" si="123"/>
        <v>4928.7560272846749</v>
      </c>
      <c r="L141" s="775">
        <f t="shared" si="99"/>
        <v>0</v>
      </c>
      <c r="M141" s="530">
        <f t="shared" si="124"/>
        <v>4928.7560272846749</v>
      </c>
      <c r="N141" s="1456">
        <v>0.4</v>
      </c>
      <c r="O141" s="530">
        <f t="shared" si="100"/>
        <v>601.53360000000021</v>
      </c>
      <c r="P141" s="1212">
        <f t="shared" si="127"/>
        <v>5530.2896272846756</v>
      </c>
      <c r="Q141" s="1366">
        <f t="shared" si="101"/>
        <v>59674.876970174279</v>
      </c>
      <c r="R141" s="1366">
        <f t="shared" si="125"/>
        <v>15189.066544224261</v>
      </c>
      <c r="S141" s="1516">
        <f t="shared" si="102"/>
        <v>0.75237938811993599</v>
      </c>
      <c r="T141" s="135" t="str">
        <f t="shared" si="103"/>
        <v>Yes</v>
      </c>
      <c r="U141" s="1516">
        <f t="shared" si="104"/>
        <v>0.75237938811993599</v>
      </c>
      <c r="V141" s="1541">
        <f t="shared" si="96"/>
        <v>68370.437402955795</v>
      </c>
      <c r="W141" s="1542">
        <f t="shared" si="97"/>
        <v>0.18177545134573359</v>
      </c>
      <c r="X141" s="527">
        <f t="shared" si="105"/>
        <v>44485.810425950018</v>
      </c>
      <c r="Y141" s="1511">
        <f t="shared" si="106"/>
        <v>10743.028570395385</v>
      </c>
      <c r="Z141" s="1511">
        <f t="shared" si="107"/>
        <v>2238.7918742794518</v>
      </c>
      <c r="AA141" s="1511">
        <f t="shared" si="108"/>
        <v>0</v>
      </c>
      <c r="AB141" s="1511">
        <f t="shared" si="109"/>
        <v>10902.806532330944</v>
      </c>
      <c r="AC141" s="1511">
        <f t="shared" si="110"/>
        <v>68370.437402955795</v>
      </c>
      <c r="AD141" s="1537">
        <f t="shared" si="111"/>
        <v>0</v>
      </c>
      <c r="AE141" s="1506">
        <f t="shared" si="112"/>
        <v>0.65065856115214504</v>
      </c>
      <c r="AF141" s="1506">
        <f t="shared" si="113"/>
        <v>0.1571297329440654</v>
      </c>
      <c r="AG141" s="1506">
        <f t="shared" si="114"/>
        <v>3.2745027812015493E-2</v>
      </c>
      <c r="AH141" s="1506">
        <f t="shared" si="126"/>
        <v>0</v>
      </c>
      <c r="AI141" s="1506">
        <f t="shared" si="115"/>
        <v>0.15946667809177412</v>
      </c>
      <c r="AJ141" s="1543">
        <f t="shared" si="116"/>
        <v>1</v>
      </c>
      <c r="AK141" s="1557">
        <f t="shared" si="117"/>
        <v>39486.835160338058</v>
      </c>
      <c r="AL141" s="1558">
        <f t="shared" si="118"/>
        <v>4788.2153741274924</v>
      </c>
      <c r="AM141" s="1558">
        <f t="shared" si="119"/>
        <v>210.7598914844657</v>
      </c>
      <c r="AN141" s="1558">
        <f t="shared" si="120"/>
        <v>44485.810425950018</v>
      </c>
      <c r="AO141" s="1545">
        <f t="shared" si="121"/>
        <v>0</v>
      </c>
      <c r="AV141" s="561"/>
      <c r="AW141" s="561"/>
    </row>
    <row r="142" spans="1:91">
      <c r="A142" s="127">
        <f>'Input data'!A122</f>
        <v>2022</v>
      </c>
      <c r="B142" s="1553">
        <f>'Input data'!B122</f>
        <v>60.682000000000002</v>
      </c>
      <c r="C142" s="1552">
        <f>'Input data'!C122</f>
        <v>3077.2</v>
      </c>
      <c r="D142" s="1513">
        <f>'Input data'!D122</f>
        <v>45903210.392984279</v>
      </c>
      <c r="E142" s="527">
        <f>'Input data'!J122*C142</f>
        <v>36986.003909303676</v>
      </c>
      <c r="F142" s="528">
        <f>'Input data'!L122</f>
        <v>82889.214302287961</v>
      </c>
      <c r="G142" s="938">
        <f>G137*(1-E4)</f>
        <v>34219.854173807704</v>
      </c>
      <c r="H142" s="528">
        <f t="shared" si="95"/>
        <v>30080.949799100847</v>
      </c>
      <c r="I142" s="530">
        <f t="shared" si="98"/>
        <v>45903.210392984278</v>
      </c>
      <c r="J142" s="649">
        <f t="shared" si="122"/>
        <v>0.19172168528933303</v>
      </c>
      <c r="K142" s="775">
        <f t="shared" si="123"/>
        <v>5975.4020627874625</v>
      </c>
      <c r="L142" s="775">
        <f t="shared" si="99"/>
        <v>0</v>
      </c>
      <c r="M142" s="530">
        <f t="shared" si="124"/>
        <v>5975.4020627874625</v>
      </c>
      <c r="N142" s="1456">
        <f>$E$26</f>
        <v>0.5</v>
      </c>
      <c r="O142" s="530">
        <f t="shared" si="100"/>
        <v>751.91700000000026</v>
      </c>
      <c r="P142" s="1212">
        <f t="shared" si="127"/>
        <v>6727.3190627874628</v>
      </c>
      <c r="Q142" s="1366">
        <f t="shared" si="101"/>
        <v>57573.484910121086</v>
      </c>
      <c r="R142" s="1366">
        <f t="shared" si="125"/>
        <v>23353.630736313382</v>
      </c>
      <c r="S142" s="1516">
        <f t="shared" si="102"/>
        <v>1.1408200517560803</v>
      </c>
      <c r="T142" s="135" t="str">
        <f t="shared" si="103"/>
        <v>No</v>
      </c>
      <c r="U142" s="1516">
        <f t="shared" si="104"/>
        <v>1</v>
      </c>
      <c r="V142" s="1541">
        <f t="shared" si="96"/>
        <v>62418.298928417367</v>
      </c>
      <c r="W142" s="1542">
        <f t="shared" si="97"/>
        <v>0.24696717837396054</v>
      </c>
      <c r="X142" s="527">
        <f t="shared" si="105"/>
        <v>37102.569536250499</v>
      </c>
      <c r="Y142" s="1511">
        <f t="shared" si="106"/>
        <v>11762.411300432748</v>
      </c>
      <c r="Z142" s="1511">
        <f t="shared" si="107"/>
        <v>2423.2959109577191</v>
      </c>
      <c r="AA142" s="1511">
        <f t="shared" si="108"/>
        <v>0</v>
      </c>
      <c r="AB142" s="1511">
        <f t="shared" si="109"/>
        <v>11130.022180776405</v>
      </c>
      <c r="AC142" s="1511">
        <f t="shared" si="110"/>
        <v>62418.298928417367</v>
      </c>
      <c r="AD142" s="1556">
        <f t="shared" si="111"/>
        <v>2882.7153624427956</v>
      </c>
      <c r="AE142" s="1506">
        <f t="shared" si="112"/>
        <v>0.59441814617217481</v>
      </c>
      <c r="AF142" s="1506">
        <f t="shared" si="113"/>
        <v>0.1884449192362985</v>
      </c>
      <c r="AG142" s="1506">
        <f t="shared" si="114"/>
        <v>3.8823485300950068E-2</v>
      </c>
      <c r="AH142" s="1506">
        <f t="shared" si="126"/>
        <v>0</v>
      </c>
      <c r="AI142" s="1506">
        <f t="shared" si="115"/>
        <v>0.17831344929057663</v>
      </c>
      <c r="AJ142" s="1543">
        <f t="shared" si="116"/>
        <v>1</v>
      </c>
      <c r="AK142" s="1557">
        <f t="shared" si="117"/>
        <v>37102.569536250507</v>
      </c>
      <c r="AL142" s="1558">
        <f t="shared" si="118"/>
        <v>0</v>
      </c>
      <c r="AM142" s="1558">
        <f t="shared" si="119"/>
        <v>0</v>
      </c>
      <c r="AN142" s="1558">
        <f t="shared" si="120"/>
        <v>37102.569536250507</v>
      </c>
      <c r="AO142" s="1545">
        <f t="shared" si="121"/>
        <v>0</v>
      </c>
      <c r="AV142" s="561"/>
      <c r="AW142" s="561"/>
    </row>
    <row r="143" spans="1:91">
      <c r="A143" s="127">
        <f>'Input data'!A123</f>
        <v>2023</v>
      </c>
      <c r="B143" s="1553">
        <f>'Input data'!B123</f>
        <v>61.381</v>
      </c>
      <c r="C143" s="1552">
        <f>'Input data'!C123</f>
        <v>3140.61</v>
      </c>
      <c r="D143" s="1513">
        <f>'Input data'!D123</f>
        <v>44745286.877069645</v>
      </c>
      <c r="E143" s="527">
        <f>'Input data'!J123*C143</f>
        <v>37748.152131027629</v>
      </c>
      <c r="F143" s="528">
        <f>'Input data'!L123</f>
        <v>82493.439008097281</v>
      </c>
      <c r="G143" s="938">
        <f>($G$147-$G$142)/($A$147-$A$142)+G142</f>
        <v>32166.662923379241</v>
      </c>
      <c r="H143" s="528">
        <f t="shared" si="95"/>
        <v>31484.811183407372</v>
      </c>
      <c r="I143" s="530">
        <f t="shared" si="98"/>
        <v>44745.286877069644</v>
      </c>
      <c r="J143" s="649">
        <f t="shared" si="122"/>
        <v>0.21775647462816641</v>
      </c>
      <c r="K143" s="775">
        <f t="shared" si="123"/>
        <v>6989.6047065010425</v>
      </c>
      <c r="L143" s="775">
        <f t="shared" si="99"/>
        <v>0</v>
      </c>
      <c r="M143" s="530">
        <f t="shared" si="124"/>
        <v>6989.6047065010425</v>
      </c>
      <c r="N143" s="1456">
        <f>($N$147-$N$142)/($A$107-$A$102)+N142</f>
        <v>0.5</v>
      </c>
      <c r="O143" s="530">
        <f t="shared" si="100"/>
        <v>751.91700000000026</v>
      </c>
      <c r="P143" s="1212">
        <f t="shared" si="127"/>
        <v>7741.5217065010429</v>
      </c>
      <c r="Q143" s="1366">
        <f t="shared" si="101"/>
        <v>55909.952400285569</v>
      </c>
      <c r="R143" s="1366">
        <f t="shared" si="125"/>
        <v>23743.289476906328</v>
      </c>
      <c r="S143" s="1516">
        <f t="shared" si="102"/>
        <v>1.13559476218608</v>
      </c>
      <c r="T143" s="135" t="str">
        <f t="shared" si="103"/>
        <v>No</v>
      </c>
      <c r="U143" s="1516">
        <f t="shared" si="104"/>
        <v>1</v>
      </c>
      <c r="V143" s="1541">
        <f t="shared" si="96"/>
        <v>61585.197558304717</v>
      </c>
      <c r="W143" s="1542">
        <f t="shared" si="97"/>
        <v>0.25345338612614121</v>
      </c>
      <c r="X143" s="527">
        <f t="shared" si="105"/>
        <v>35001.710950493005</v>
      </c>
      <c r="Y143" s="1511">
        <f t="shared" si="106"/>
        <v>12766.377783194815</v>
      </c>
      <c r="Z143" s="1511">
        <f t="shared" si="107"/>
        <v>2457.7370057009366</v>
      </c>
      <c r="AA143" s="1511">
        <f t="shared" si="108"/>
        <v>0</v>
      </c>
      <c r="AB143" s="1511">
        <f t="shared" si="109"/>
        <v>11359.371818915957</v>
      </c>
      <c r="AC143" s="1511">
        <f t="shared" si="110"/>
        <v>61585.197558304717</v>
      </c>
      <c r="AD143" s="1556">
        <f t="shared" si="111"/>
        <v>2835.048027113764</v>
      </c>
      <c r="AE143" s="1506">
        <f t="shared" si="112"/>
        <v>0.56834616658257442</v>
      </c>
      <c r="AF143" s="1506">
        <f t="shared" si="113"/>
        <v>0.20729620573366625</v>
      </c>
      <c r="AG143" s="1506">
        <f t="shared" si="114"/>
        <v>3.9907917862472012E-2</v>
      </c>
      <c r="AH143" s="1506">
        <f t="shared" si="126"/>
        <v>0</v>
      </c>
      <c r="AI143" s="1506">
        <f t="shared" si="115"/>
        <v>0.18444970982128731</v>
      </c>
      <c r="AJ143" s="1543">
        <f t="shared" si="116"/>
        <v>1</v>
      </c>
      <c r="AK143" s="1557">
        <f t="shared" si="117"/>
        <v>35001.710950492998</v>
      </c>
      <c r="AL143" s="1558">
        <f t="shared" si="118"/>
        <v>0</v>
      </c>
      <c r="AM143" s="1558">
        <f t="shared" si="119"/>
        <v>0</v>
      </c>
      <c r="AN143" s="1558">
        <f>SUM(AK143:AM143)</f>
        <v>35001.710950492998</v>
      </c>
      <c r="AO143" s="1545">
        <f t="shared" si="121"/>
        <v>0</v>
      </c>
      <c r="AV143" s="561"/>
      <c r="AW143" s="561"/>
    </row>
    <row r="144" spans="1:91">
      <c r="A144" s="127">
        <f>'Input data'!A124</f>
        <v>2024</v>
      </c>
      <c r="B144" s="1553">
        <f>'Input data'!B124</f>
        <v>62.088000000000001</v>
      </c>
      <c r="C144" s="1552">
        <f>'Input data'!C124</f>
        <v>3201.77</v>
      </c>
      <c r="D144" s="1513">
        <f>'Input data'!D124</f>
        <v>43251251.992583826</v>
      </c>
      <c r="E144" s="527">
        <f>'Input data'!J124*C144</f>
        <v>38483.256771315231</v>
      </c>
      <c r="F144" s="1511">
        <f>'Input data'!L124</f>
        <v>81734.508763899066</v>
      </c>
      <c r="G144" s="1559">
        <f t="shared" ref="G144:G146" si="128">($G$147-$G$142)/($A$147-$A$142)+G143</f>
        <v>30113.471672950778</v>
      </c>
      <c r="H144" s="1511">
        <f t="shared" si="95"/>
        <v>32557.730294222958</v>
      </c>
      <c r="I144" s="1513">
        <f t="shared" si="98"/>
        <v>43251.251992583828</v>
      </c>
      <c r="J144" s="1456">
        <f t="shared" si="122"/>
        <v>0.24379126396699979</v>
      </c>
      <c r="K144" s="1514">
        <f t="shared" si="123"/>
        <v>7882.2606398740209</v>
      </c>
      <c r="L144" s="1514">
        <f t="shared" si="99"/>
        <v>0</v>
      </c>
      <c r="M144" s="1513">
        <f t="shared" si="124"/>
        <v>7882.2606398740209</v>
      </c>
      <c r="N144" s="1456">
        <f>($N$147-$N$142)/($A$107-$A$102)+N143</f>
        <v>0.5</v>
      </c>
      <c r="O144" s="530">
        <f t="shared" si="100"/>
        <v>751.91700000000026</v>
      </c>
      <c r="P144" s="1212">
        <f t="shared" si="127"/>
        <v>8634.1776398740203</v>
      </c>
      <c r="Q144" s="1366">
        <f t="shared" si="101"/>
        <v>54037.024327299718</v>
      </c>
      <c r="R144" s="1366">
        <f t="shared" si="125"/>
        <v>23923.55265434894</v>
      </c>
      <c r="S144" s="1516">
        <f t="shared" si="102"/>
        <v>1.1215891646528653</v>
      </c>
      <c r="T144" s="135" t="str">
        <f t="shared" si="103"/>
        <v>No</v>
      </c>
      <c r="U144" s="1516">
        <f t="shared" si="104"/>
        <v>1</v>
      </c>
      <c r="V144" s="1541">
        <f t="shared" si="96"/>
        <v>60404.459037755943</v>
      </c>
      <c r="W144" s="1542">
        <f t="shared" si="97"/>
        <v>0.26096749156170729</v>
      </c>
      <c r="X144" s="527">
        <f t="shared" si="105"/>
        <v>32706.974601156599</v>
      </c>
      <c r="Y144" s="1511">
        <f t="shared" si="106"/>
        <v>13625.94506123162</v>
      </c>
      <c r="Z144" s="1511">
        <f t="shared" si="107"/>
        <v>2490.9560146032422</v>
      </c>
      <c r="AA144" s="1511">
        <f t="shared" si="108"/>
        <v>0</v>
      </c>
      <c r="AB144" s="1511">
        <f t="shared" si="109"/>
        <v>11580.583360764484</v>
      </c>
      <c r="AC144" s="1511">
        <f t="shared" si="110"/>
        <v>60404.459037755943</v>
      </c>
      <c r="AD144" s="1556">
        <f t="shared" si="111"/>
        <v>2593.5029282058204</v>
      </c>
      <c r="AE144" s="1506">
        <f t="shared" si="112"/>
        <v>0.54146622819207813</v>
      </c>
      <c r="AF144" s="1506">
        <f t="shared" si="113"/>
        <v>0.22557846354877034</v>
      </c>
      <c r="AG144" s="1506">
        <f t="shared" si="114"/>
        <v>4.1237949222362284E-2</v>
      </c>
      <c r="AH144" s="1506">
        <f t="shared" si="126"/>
        <v>0</v>
      </c>
      <c r="AI144" s="1506">
        <f t="shared" si="115"/>
        <v>0.19171735903678921</v>
      </c>
      <c r="AJ144" s="1543">
        <f t="shared" si="116"/>
        <v>0.99999999999999989</v>
      </c>
      <c r="AK144" s="1557">
        <f t="shared" si="117"/>
        <v>32706.974601156599</v>
      </c>
      <c r="AL144" s="1558">
        <f t="shared" si="118"/>
        <v>0</v>
      </c>
      <c r="AM144" s="1558">
        <f t="shared" si="119"/>
        <v>0</v>
      </c>
      <c r="AN144" s="1558">
        <f t="shared" si="120"/>
        <v>32706.974601156599</v>
      </c>
      <c r="AO144" s="1545">
        <f t="shared" si="121"/>
        <v>0</v>
      </c>
      <c r="AV144" s="561"/>
      <c r="AW144" s="561"/>
    </row>
    <row r="145" spans="1:49">
      <c r="A145" s="127">
        <f>'Input data'!A125</f>
        <v>2025</v>
      </c>
      <c r="B145" s="1553">
        <f>'Input data'!B125</f>
        <v>62.802999999999997</v>
      </c>
      <c r="C145" s="1552">
        <f>'Input data'!C125</f>
        <v>3265.54</v>
      </c>
      <c r="D145" s="1513">
        <f>'Input data'!D125</f>
        <v>40955103.194912732</v>
      </c>
      <c r="E145" s="527">
        <f>'Input data'!J125*C145</f>
        <v>39249.731966068997</v>
      </c>
      <c r="F145" s="1511">
        <f>'Input data'!L125</f>
        <v>80204.835160981718</v>
      </c>
      <c r="G145" s="1559">
        <f t="shared" si="128"/>
        <v>28060.280422522315</v>
      </c>
      <c r="H145" s="1511">
        <f t="shared" si="95"/>
        <v>32895.9044368084</v>
      </c>
      <c r="I145" s="1513">
        <f t="shared" si="98"/>
        <v>40955.103194912728</v>
      </c>
      <c r="J145" s="1456">
        <f t="shared" si="122"/>
        <v>0.26982605330583315</v>
      </c>
      <c r="K145" s="1514">
        <f t="shared" si="123"/>
        <v>8530.0598722378763</v>
      </c>
      <c r="L145" s="1514">
        <f t="shared" si="99"/>
        <v>0</v>
      </c>
      <c r="M145" s="1513">
        <f t="shared" si="124"/>
        <v>8530.0598722378763</v>
      </c>
      <c r="N145" s="1456">
        <f>($N$147-$N$142)/($A$107-$A$102)+N144</f>
        <v>0.5</v>
      </c>
      <c r="O145" s="530">
        <f t="shared" si="100"/>
        <v>751.91700000000026</v>
      </c>
      <c r="P145" s="1212">
        <f t="shared" si="127"/>
        <v>9281.9768722378758</v>
      </c>
      <c r="Q145" s="1366">
        <f t="shared" si="101"/>
        <v>51674.207987092843</v>
      </c>
      <c r="R145" s="1366">
        <f t="shared" si="125"/>
        <v>23613.927564570527</v>
      </c>
      <c r="S145" s="1516">
        <f t="shared" si="102"/>
        <v>1.084707436287111</v>
      </c>
      <c r="T145" s="135" t="str">
        <f t="shared" si="103"/>
        <v>No</v>
      </c>
      <c r="U145" s="1516">
        <f t="shared" si="104"/>
        <v>1</v>
      </c>
      <c r="V145" s="1541">
        <f t="shared" si="96"/>
        <v>58434.976510985194</v>
      </c>
      <c r="W145" s="1542">
        <f t="shared" si="97"/>
        <v>0.27142825748973287</v>
      </c>
      <c r="X145" s="527">
        <f t="shared" si="105"/>
        <v>29904.349337096308</v>
      </c>
      <c r="Y145" s="1511">
        <f t="shared" si="106"/>
        <v>14193.799436497282</v>
      </c>
      <c r="Z145" s="1511">
        <f t="shared" si="107"/>
        <v>2525.5926430810055</v>
      </c>
      <c r="AA145" s="1511">
        <f t="shared" si="108"/>
        <v>0</v>
      </c>
      <c r="AB145" s="1511">
        <f t="shared" si="109"/>
        <v>11811.235094310599</v>
      </c>
      <c r="AC145" s="1511">
        <f t="shared" si="110"/>
        <v>58434.976510985194</v>
      </c>
      <c r="AD145" s="1556">
        <f t="shared" si="111"/>
        <v>1844.0689145739925</v>
      </c>
      <c r="AE145" s="1506">
        <f t="shared" si="112"/>
        <v>0.51175428010096979</v>
      </c>
      <c r="AF145" s="1506">
        <f t="shared" si="113"/>
        <v>0.24289903554301914</v>
      </c>
      <c r="AG145" s="1506">
        <f t="shared" si="114"/>
        <v>4.3220564016248374E-2</v>
      </c>
      <c r="AH145" s="1506">
        <f t="shared" si="126"/>
        <v>0</v>
      </c>
      <c r="AI145" s="1506">
        <f t="shared" si="115"/>
        <v>0.20212612033976268</v>
      </c>
      <c r="AJ145" s="1543">
        <f t="shared" si="116"/>
        <v>1</v>
      </c>
      <c r="AK145" s="1557">
        <f t="shared" si="117"/>
        <v>29904.349337096304</v>
      </c>
      <c r="AL145" s="1558">
        <f t="shared" si="118"/>
        <v>0</v>
      </c>
      <c r="AM145" s="1558">
        <f t="shared" si="119"/>
        <v>0</v>
      </c>
      <c r="AN145" s="1558">
        <f t="shared" si="120"/>
        <v>29904.349337096304</v>
      </c>
      <c r="AO145" s="1545">
        <f t="shared" si="121"/>
        <v>0</v>
      </c>
      <c r="AV145" s="561"/>
      <c r="AW145" s="561"/>
    </row>
    <row r="146" spans="1:49">
      <c r="A146" s="127">
        <f>'Input data'!A126</f>
        <v>2026</v>
      </c>
      <c r="B146" s="1553">
        <f>'Input data'!B126</f>
        <v>63.420999999999999</v>
      </c>
      <c r="C146" s="1552">
        <f>'Input data'!C126</f>
        <v>3341.28</v>
      </c>
      <c r="D146" s="1513">
        <f>'Input data'!D126</f>
        <v>39969673.998818383</v>
      </c>
      <c r="E146" s="527">
        <f>'Input data'!J126*C146</f>
        <v>40160.079014064147</v>
      </c>
      <c r="F146" s="1511">
        <f>'Input data'!L126</f>
        <v>80129.753012882531</v>
      </c>
      <c r="G146" s="1559">
        <f t="shared" si="128"/>
        <v>26007.089172093853</v>
      </c>
      <c r="H146" s="1511">
        <f t="shared" si="95"/>
        <v>34546.681047281214</v>
      </c>
      <c r="I146" s="1513">
        <f t="shared" si="98"/>
        <v>39969.673998818384</v>
      </c>
      <c r="J146" s="1456">
        <f t="shared" si="122"/>
        <v>0.2958608426446665</v>
      </c>
      <c r="K146" s="1514">
        <f t="shared" si="123"/>
        <v>9365.4183825097407</v>
      </c>
      <c r="L146" s="1514">
        <f t="shared" si="99"/>
        <v>0</v>
      </c>
      <c r="M146" s="1513">
        <f t="shared" si="124"/>
        <v>9365.4183825097407</v>
      </c>
      <c r="N146" s="1456">
        <f>($N$147-$N$142)/($A$107-$A$102)+N145</f>
        <v>0.5</v>
      </c>
      <c r="O146" s="530">
        <f t="shared" si="100"/>
        <v>751.91700000000026</v>
      </c>
      <c r="P146" s="1212">
        <f t="shared" si="127"/>
        <v>10117.33538250974</v>
      </c>
      <c r="Q146" s="1366">
        <f t="shared" si="101"/>
        <v>50436.43483686533</v>
      </c>
      <c r="R146" s="1366">
        <f t="shared" si="125"/>
        <v>24429.345664771477</v>
      </c>
      <c r="S146" s="1516">
        <f t="shared" si="102"/>
        <v>1.0958685666933496</v>
      </c>
      <c r="T146" s="135" t="str">
        <f t="shared" si="103"/>
        <v>No</v>
      </c>
      <c r="U146" s="1516">
        <f t="shared" si="104"/>
        <v>1</v>
      </c>
      <c r="V146" s="1541">
        <f t="shared" si="96"/>
        <v>57837.530745312572</v>
      </c>
      <c r="W146" s="1542">
        <f t="shared" si="97"/>
        <v>0.27820155971260785</v>
      </c>
      <c r="X146" s="527">
        <f t="shared" si="105"/>
        <v>28144.21256929536</v>
      </c>
      <c r="Y146" s="1511">
        <f t="shared" si="106"/>
        <v>15041.40590765981</v>
      </c>
      <c r="Z146" s="1511">
        <f t="shared" si="107"/>
        <v>2566.7307682324217</v>
      </c>
      <c r="AA146" s="1511">
        <f t="shared" si="108"/>
        <v>0</v>
      </c>
      <c r="AB146" s="1511">
        <f t="shared" si="109"/>
        <v>12085.18150012498</v>
      </c>
      <c r="AC146" s="1511">
        <f t="shared" si="110"/>
        <v>57837.530745312572</v>
      </c>
      <c r="AD146" s="1556">
        <f t="shared" si="111"/>
        <v>2137.123397201507</v>
      </c>
      <c r="AE146" s="1506">
        <f t="shared" si="112"/>
        <v>0.48660812808949838</v>
      </c>
      <c r="AF146" s="1506">
        <f t="shared" si="113"/>
        <v>0.26006307174306253</v>
      </c>
      <c r="AG146" s="1506">
        <f t="shared" si="114"/>
        <v>4.4378290967071445E-2</v>
      </c>
      <c r="AH146" s="1506">
        <f t="shared" si="126"/>
        <v>0</v>
      </c>
      <c r="AI146" s="1506">
        <f t="shared" si="115"/>
        <v>0.20895050920036762</v>
      </c>
      <c r="AJ146" s="1543">
        <f t="shared" si="116"/>
        <v>1</v>
      </c>
      <c r="AK146" s="1557">
        <f t="shared" si="117"/>
        <v>28144.212569295356</v>
      </c>
      <c r="AL146" s="1558">
        <f t="shared" si="118"/>
        <v>0</v>
      </c>
      <c r="AM146" s="1558">
        <f t="shared" si="119"/>
        <v>0</v>
      </c>
      <c r="AN146" s="1558">
        <f t="shared" si="120"/>
        <v>28144.212569295356</v>
      </c>
      <c r="AO146" s="1545">
        <f t="shared" si="121"/>
        <v>0</v>
      </c>
      <c r="AV146" s="561"/>
      <c r="AW146" s="561"/>
    </row>
    <row r="147" spans="1:49">
      <c r="A147" s="127">
        <f>'Input data'!A127</f>
        <v>2027</v>
      </c>
      <c r="B147" s="1553">
        <f>'Input data'!B127</f>
        <v>64.046000000000006</v>
      </c>
      <c r="C147" s="1552">
        <f>'Input data'!C127</f>
        <v>3416.2799999999997</v>
      </c>
      <c r="D147" s="1513">
        <f>'Input data'!D127</f>
        <v>38984244.802724026</v>
      </c>
      <c r="E147" s="527">
        <f>'Input data'!J127*C147</f>
        <v>41061.531728609109</v>
      </c>
      <c r="F147" s="1511">
        <f>'Input data'!L127</f>
        <v>80045.776531333133</v>
      </c>
      <c r="G147" s="1559">
        <f>G137*(1-E5)</f>
        <v>23953.89792166539</v>
      </c>
      <c r="H147" s="1511">
        <f t="shared" si="95"/>
        <v>36192.354025894958</v>
      </c>
      <c r="I147" s="1513">
        <f t="shared" si="98"/>
        <v>38984.244802724024</v>
      </c>
      <c r="J147" s="1456">
        <f t="shared" si="122"/>
        <v>0.32189563198349985</v>
      </c>
      <c r="K147" s="1514">
        <f t="shared" si="123"/>
        <v>10149.466009724298</v>
      </c>
      <c r="L147" s="1514">
        <f t="shared" si="99"/>
        <v>0</v>
      </c>
      <c r="M147" s="1513">
        <f t="shared" si="124"/>
        <v>10149.466009724298</v>
      </c>
      <c r="N147" s="1456">
        <f>$C$27</f>
        <v>0.5</v>
      </c>
      <c r="O147" s="530">
        <f t="shared" si="100"/>
        <v>751.91700000000026</v>
      </c>
      <c r="P147" s="1212">
        <f t="shared" si="127"/>
        <v>10901.383009724297</v>
      </c>
      <c r="Q147" s="1366">
        <f t="shared" si="101"/>
        <v>49244.86893783605</v>
      </c>
      <c r="R147" s="1366">
        <f t="shared" si="125"/>
        <v>25290.971016170661</v>
      </c>
      <c r="S147" s="1516">
        <f t="shared" si="102"/>
        <v>1.108791981130085</v>
      </c>
      <c r="T147" s="135" t="str">
        <f t="shared" si="103"/>
        <v>No</v>
      </c>
      <c r="U147" s="1516">
        <f t="shared" si="104"/>
        <v>1</v>
      </c>
      <c r="V147" s="1541">
        <f t="shared" si="96"/>
        <v>57236.294278048801</v>
      </c>
      <c r="W147" s="1542">
        <f t="shared" si="97"/>
        <v>0.28495547475082317</v>
      </c>
      <c r="X147" s="527">
        <f t="shared" si="105"/>
        <v>26435.386684551708</v>
      </c>
      <c r="Y147" s="1511">
        <f t="shared" si="106"/>
        <v>15836.989254075068</v>
      </c>
      <c r="Z147" s="1511">
        <f t="shared" si="107"/>
        <v>2607.4669629294931</v>
      </c>
      <c r="AA147" s="1511">
        <f t="shared" si="108"/>
        <v>0</v>
      </c>
      <c r="AB147" s="1511">
        <f t="shared" si="109"/>
        <v>12356.45137649253</v>
      </c>
      <c r="AC147" s="1511">
        <f t="shared" si="110"/>
        <v>57236.294278048801</v>
      </c>
      <c r="AD147" s="1556">
        <f t="shared" si="111"/>
        <v>2481.488762886318</v>
      </c>
      <c r="AE147" s="1506">
        <f t="shared" si="112"/>
        <v>0.46186405004018888</v>
      </c>
      <c r="AF147" s="1506">
        <f t="shared" si="113"/>
        <v>0.27669487435962203</v>
      </c>
      <c r="AG147" s="1506">
        <f t="shared" si="114"/>
        <v>4.5556180668557114E-2</v>
      </c>
      <c r="AH147" s="1506">
        <f t="shared" si="126"/>
        <v>0</v>
      </c>
      <c r="AI147" s="1506">
        <f t="shared" si="115"/>
        <v>0.2158848949316319</v>
      </c>
      <c r="AJ147" s="1543">
        <f t="shared" si="116"/>
        <v>1</v>
      </c>
      <c r="AK147" s="1557">
        <f t="shared" si="117"/>
        <v>26435.386684551704</v>
      </c>
      <c r="AL147" s="1558">
        <f t="shared" si="118"/>
        <v>0</v>
      </c>
      <c r="AM147" s="1558">
        <f t="shared" si="119"/>
        <v>0</v>
      </c>
      <c r="AN147" s="1558">
        <f t="shared" si="120"/>
        <v>26435.386684551704</v>
      </c>
      <c r="AO147" s="1545">
        <f t="shared" si="121"/>
        <v>0</v>
      </c>
      <c r="AV147" s="561"/>
      <c r="AW147" s="561"/>
    </row>
    <row r="148" spans="1:49">
      <c r="A148" s="127">
        <f>'Input data'!A128</f>
        <v>2028</v>
      </c>
      <c r="B148" s="1553">
        <f>'Input data'!B128</f>
        <v>64.676000000000002</v>
      </c>
      <c r="C148" s="1552">
        <f>'Input data'!C128</f>
        <v>3494.8800000000006</v>
      </c>
      <c r="D148" s="1513">
        <f>'Input data'!D128</f>
        <v>37998815.60662967</v>
      </c>
      <c r="E148" s="527">
        <f>'Input data'!J128*C148</f>
        <v>42006.254173452246</v>
      </c>
      <c r="F148" s="1511">
        <f>'Input data'!L128</f>
        <v>80005.069780081918</v>
      </c>
      <c r="G148" s="1559">
        <f>($G$152-$G$147)/($A$152-$A$147)+G147</f>
        <v>21900.706671236927</v>
      </c>
      <c r="H148" s="1511">
        <f t="shared" si="95"/>
        <v>37862.855483823005</v>
      </c>
      <c r="I148" s="1513">
        <f t="shared" si="98"/>
        <v>37998.815606629672</v>
      </c>
      <c r="J148" s="1456">
        <f t="shared" si="122"/>
        <v>0.34793042132233321</v>
      </c>
      <c r="K148" s="1514">
        <f t="shared" si="123"/>
        <v>10882.202753881549</v>
      </c>
      <c r="L148" s="1514">
        <f t="shared" si="99"/>
        <v>0</v>
      </c>
      <c r="M148" s="1513">
        <f t="shared" si="124"/>
        <v>10882.202753881549</v>
      </c>
      <c r="N148" s="1456">
        <f>N147</f>
        <v>0.5</v>
      </c>
      <c r="O148" s="530">
        <f t="shared" si="100"/>
        <v>751.91700000000026</v>
      </c>
      <c r="P148" s="1212">
        <f t="shared" si="127"/>
        <v>11634.119753881549</v>
      </c>
      <c r="Q148" s="1366">
        <f t="shared" si="101"/>
        <v>48129.442401178385</v>
      </c>
      <c r="R148" s="1366">
        <f t="shared" si="125"/>
        <v>26228.735729941458</v>
      </c>
      <c r="S148" s="1516">
        <f t="shared" si="102"/>
        <v>1.1232107701162932</v>
      </c>
      <c r="T148" s="135" t="str">
        <f t="shared" si="103"/>
        <v>No</v>
      </c>
      <c r="U148" s="1516">
        <f t="shared" si="104"/>
        <v>1</v>
      </c>
      <c r="V148" s="1541">
        <f t="shared" si="96"/>
        <v>56653.499061768904</v>
      </c>
      <c r="W148" s="1542">
        <f t="shared" si="97"/>
        <v>0.29187613713108251</v>
      </c>
      <c r="X148" s="527">
        <f t="shared" si="105"/>
        <v>24777.87168286536</v>
      </c>
      <c r="Y148" s="1511">
        <f t="shared" si="106"/>
        <v>16584.72667700579</v>
      </c>
      <c r="Z148" s="1511">
        <f t="shared" si="107"/>
        <v>2650.1584949720245</v>
      </c>
      <c r="AA148" s="1511">
        <f t="shared" si="108"/>
        <v>0</v>
      </c>
      <c r="AB148" s="1511">
        <f t="shared" si="109"/>
        <v>12640.742206925726</v>
      </c>
      <c r="AC148" s="1511">
        <f t="shared" si="110"/>
        <v>56653.499061768904</v>
      </c>
      <c r="AD148" s="1556">
        <f t="shared" si="111"/>
        <v>2877.1650116284327</v>
      </c>
      <c r="AE148" s="1506">
        <f t="shared" si="112"/>
        <v>0.4373581878120224</v>
      </c>
      <c r="AF148" s="1506">
        <f t="shared" si="113"/>
        <v>0.29273967101173365</v>
      </c>
      <c r="AG148" s="1506">
        <f t="shared" si="114"/>
        <v>4.6778372719442726E-2</v>
      </c>
      <c r="AH148" s="1506">
        <f t="shared" si="126"/>
        <v>0</v>
      </c>
      <c r="AI148" s="1506">
        <f t="shared" si="115"/>
        <v>0.22312376845680115</v>
      </c>
      <c r="AJ148" s="1543">
        <f t="shared" si="116"/>
        <v>1</v>
      </c>
      <c r="AK148" s="1557">
        <f t="shared" si="117"/>
        <v>24777.87168286536</v>
      </c>
      <c r="AL148" s="1558">
        <f t="shared" si="118"/>
        <v>0</v>
      </c>
      <c r="AM148" s="1558">
        <f t="shared" si="119"/>
        <v>0</v>
      </c>
      <c r="AN148" s="1558">
        <f t="shared" si="120"/>
        <v>24777.87168286536</v>
      </c>
      <c r="AO148" s="1545">
        <f t="shared" si="121"/>
        <v>0</v>
      </c>
      <c r="AV148" s="561"/>
      <c r="AW148" s="561"/>
    </row>
    <row r="149" spans="1:49">
      <c r="A149" s="127">
        <f>'Input data'!A129</f>
        <v>2029</v>
      </c>
      <c r="B149" s="1553">
        <f>'Input data'!B129</f>
        <v>65.313000000000002</v>
      </c>
      <c r="C149" s="1552">
        <f>'Input data'!C129</f>
        <v>3576.08</v>
      </c>
      <c r="D149" s="1513">
        <f>'Input data'!D129</f>
        <v>37013386.410535313</v>
      </c>
      <c r="E149" s="527">
        <f>'Input data'!J129*C149</f>
        <v>42982.226979066254</v>
      </c>
      <c r="F149" s="1511">
        <f>'Input data'!L129</f>
        <v>79995.613389601567</v>
      </c>
      <c r="G149" s="1559">
        <f t="shared" ref="G149:G151" si="129">($G$152-$G$147)/($A$152-$A$147)+G148</f>
        <v>19847.515420808464</v>
      </c>
      <c r="H149" s="1511">
        <f t="shared" si="95"/>
        <v>39551.288621255801</v>
      </c>
      <c r="I149" s="1513">
        <f t="shared" si="98"/>
        <v>37013.386410535313</v>
      </c>
      <c r="J149" s="1456">
        <f t="shared" si="122"/>
        <v>0.37396521066116656</v>
      </c>
      <c r="K149" s="1514">
        <f t="shared" si="123"/>
        <v>11563.628614981495</v>
      </c>
      <c r="L149" s="1514">
        <f t="shared" si="99"/>
        <v>0</v>
      </c>
      <c r="M149" s="1513">
        <f t="shared" si="124"/>
        <v>11563.628614981495</v>
      </c>
      <c r="N149" s="1456">
        <f t="shared" ref="N149:N170" si="130">N148</f>
        <v>0.5</v>
      </c>
      <c r="O149" s="530">
        <f t="shared" si="100"/>
        <v>751.91700000000026</v>
      </c>
      <c r="P149" s="1212">
        <f t="shared" si="127"/>
        <v>12315.545614981495</v>
      </c>
      <c r="Q149" s="1366">
        <f t="shared" si="101"/>
        <v>47083.258427082772</v>
      </c>
      <c r="R149" s="1366">
        <f t="shared" si="125"/>
        <v>27235.743006274308</v>
      </c>
      <c r="S149" s="1516">
        <f t="shared" si="102"/>
        <v>1.1390184435027648</v>
      </c>
      <c r="T149" s="135" t="str">
        <f t="shared" si="103"/>
        <v>No</v>
      </c>
      <c r="U149" s="1516">
        <f t="shared" si="104"/>
        <v>1</v>
      </c>
      <c r="V149" s="1541">
        <f t="shared" si="96"/>
        <v>56084.022526755114</v>
      </c>
      <c r="W149" s="1542">
        <f t="shared" si="97"/>
        <v>0.29891127587696775</v>
      </c>
      <c r="X149" s="527">
        <f t="shared" si="105"/>
        <v>23171.667564236312</v>
      </c>
      <c r="Y149" s="1511">
        <f t="shared" si="106"/>
        <v>17283.655687681759</v>
      </c>
      <c r="Z149" s="1511">
        <f t="shared" si="107"/>
        <v>2694.2622150973871</v>
      </c>
      <c r="AA149" s="1511">
        <f t="shared" si="108"/>
        <v>0</v>
      </c>
      <c r="AB149" s="1511">
        <f t="shared" si="109"/>
        <v>12934.437059739659</v>
      </c>
      <c r="AC149" s="1511">
        <f t="shared" si="110"/>
        <v>56084.022526755114</v>
      </c>
      <c r="AD149" s="1556">
        <f t="shared" si="111"/>
        <v>3324.1521434278475</v>
      </c>
      <c r="AE149" s="1506">
        <f t="shared" si="112"/>
        <v>0.41315987192577303</v>
      </c>
      <c r="AF149" s="1506">
        <f t="shared" si="113"/>
        <v>0.30817432325644117</v>
      </c>
      <c r="AG149" s="1506">
        <f t="shared" si="114"/>
        <v>4.8039746325472255E-2</v>
      </c>
      <c r="AH149" s="1506">
        <f t="shared" si="126"/>
        <v>0</v>
      </c>
      <c r="AI149" s="1506">
        <f t="shared" si="115"/>
        <v>0.2306260584923136</v>
      </c>
      <c r="AJ149" s="1543">
        <f t="shared" si="116"/>
        <v>1</v>
      </c>
      <c r="AK149" s="1557">
        <f t="shared" si="117"/>
        <v>23171.667564236315</v>
      </c>
      <c r="AL149" s="1558">
        <f t="shared" si="118"/>
        <v>0</v>
      </c>
      <c r="AM149" s="1558">
        <f t="shared" si="119"/>
        <v>0</v>
      </c>
      <c r="AN149" s="1558">
        <f t="shared" si="120"/>
        <v>23171.667564236315</v>
      </c>
      <c r="AO149" s="1545">
        <f t="shared" si="121"/>
        <v>0</v>
      </c>
      <c r="AV149" s="561"/>
      <c r="AW149" s="561"/>
    </row>
    <row r="150" spans="1:49">
      <c r="A150" s="127">
        <f>'Input data'!A130</f>
        <v>2030</v>
      </c>
      <c r="B150" s="1553">
        <f>'Input data'!B130</f>
        <v>65.956000000000003</v>
      </c>
      <c r="C150" s="1552">
        <f>'Input data'!C130</f>
        <v>3660.12</v>
      </c>
      <c r="D150" s="1513">
        <f>'Input data'!D130</f>
        <v>36027957.214440949</v>
      </c>
      <c r="E150" s="527">
        <f>'Input data'!J130*C150</f>
        <v>43992.334794137714</v>
      </c>
      <c r="F150" s="1511">
        <f>'Input data'!L130</f>
        <v>80020.292008578661</v>
      </c>
      <c r="G150" s="1559">
        <f t="shared" si="129"/>
        <v>17794.324170380001</v>
      </c>
      <c r="H150" s="1511">
        <f t="shared" si="95"/>
        <v>41259.308670147642</v>
      </c>
      <c r="I150" s="1513">
        <f t="shared" si="98"/>
        <v>36027.957214440947</v>
      </c>
      <c r="J150" s="1456">
        <f>$H$19</f>
        <v>0.4</v>
      </c>
      <c r="K150" s="1514">
        <f t="shared" si="123"/>
        <v>12193.743593024137</v>
      </c>
      <c r="L150" s="1514">
        <f t="shared" si="99"/>
        <v>0</v>
      </c>
      <c r="M150" s="1513">
        <f t="shared" si="124"/>
        <v>12193.743593024137</v>
      </c>
      <c r="N150" s="1456">
        <f t="shared" si="130"/>
        <v>0.5</v>
      </c>
      <c r="O150" s="530">
        <f t="shared" si="100"/>
        <v>751.91700000000026</v>
      </c>
      <c r="P150" s="1212">
        <f t="shared" si="127"/>
        <v>12945.660593024137</v>
      </c>
      <c r="Q150" s="1366">
        <f t="shared" si="101"/>
        <v>46107.972247503509</v>
      </c>
      <c r="R150" s="1366">
        <f t="shared" si="125"/>
        <v>28313.648077123507</v>
      </c>
      <c r="S150" s="1516">
        <f t="shared" si="102"/>
        <v>1.1560744464583452</v>
      </c>
      <c r="T150" s="135" t="str">
        <f t="shared" si="103"/>
        <v>No</v>
      </c>
      <c r="U150" s="1516">
        <f t="shared" si="104"/>
        <v>1</v>
      </c>
      <c r="V150" s="1541">
        <f t="shared" si="96"/>
        <v>55529.094089739723</v>
      </c>
      <c r="W150" s="1542">
        <f t="shared" si="97"/>
        <v>0.30606234123981113</v>
      </c>
      <c r="X150" s="527">
        <f t="shared" si="105"/>
        <v>21616.774328664567</v>
      </c>
      <c r="Y150" s="1511">
        <f t="shared" si="106"/>
        <v>17934.007283407827</v>
      </c>
      <c r="Z150" s="1511">
        <f t="shared" si="107"/>
        <v>2739.9084791286127</v>
      </c>
      <c r="AA150" s="1511">
        <f t="shared" si="108"/>
        <v>0</v>
      </c>
      <c r="AB150" s="1511">
        <f t="shared" si="109"/>
        <v>13238.403998538715</v>
      </c>
      <c r="AC150" s="1511">
        <f t="shared" si="110"/>
        <v>55529.094089739723</v>
      </c>
      <c r="AD150" s="1556">
        <f t="shared" si="111"/>
        <v>3822.450158284566</v>
      </c>
      <c r="AE150" s="1506">
        <f t="shared" si="112"/>
        <v>0.38928735797004049</v>
      </c>
      <c r="AF150" s="1506">
        <f t="shared" si="113"/>
        <v>0.32296596185100646</v>
      </c>
      <c r="AG150" s="1506">
        <f t="shared" si="114"/>
        <v>4.9341854464628729E-2</v>
      </c>
      <c r="AH150" s="1506">
        <f t="shared" si="126"/>
        <v>0</v>
      </c>
      <c r="AI150" s="1506">
        <f t="shared" si="115"/>
        <v>0.23840482571432431</v>
      </c>
      <c r="AJ150" s="1543">
        <f t="shared" si="116"/>
        <v>1</v>
      </c>
      <c r="AK150" s="1557">
        <f t="shared" si="117"/>
        <v>21616.774328664567</v>
      </c>
      <c r="AL150" s="1558">
        <f t="shared" si="118"/>
        <v>0</v>
      </c>
      <c r="AM150" s="1558">
        <f t="shared" si="119"/>
        <v>0</v>
      </c>
      <c r="AN150" s="1558">
        <f t="shared" si="120"/>
        <v>21616.774328664567</v>
      </c>
      <c r="AO150" s="1545">
        <f t="shared" si="121"/>
        <v>0</v>
      </c>
      <c r="AV150" s="561"/>
      <c r="AW150" s="561"/>
    </row>
    <row r="151" spans="1:49">
      <c r="A151" s="127">
        <f>'Input data'!A131</f>
        <v>2031</v>
      </c>
      <c r="B151" s="1553">
        <f>'Input data'!B131</f>
        <v>66.519000000000005</v>
      </c>
      <c r="C151" s="1552">
        <f>'Input data'!C131</f>
        <v>3761.03</v>
      </c>
      <c r="D151" s="1513">
        <f>'Input data'!D131</f>
        <v>35846430.699385166</v>
      </c>
      <c r="E151" s="527">
        <f>'Input data'!J131*C151</f>
        <v>45205.209373134152</v>
      </c>
      <c r="F151" s="1511">
        <f>'Input data'!L131</f>
        <v>81051.640072519309</v>
      </c>
      <c r="G151" s="1559">
        <f t="shared" si="129"/>
        <v>15741.132919951538</v>
      </c>
      <c r="H151" s="1511">
        <f t="shared" si="95"/>
        <v>43838.10202079625</v>
      </c>
      <c r="I151" s="1513">
        <f t="shared" si="98"/>
        <v>35846.430699385164</v>
      </c>
      <c r="J151" s="1456">
        <f>J150</f>
        <v>0.4</v>
      </c>
      <c r="K151" s="1514">
        <f t="shared" si="123"/>
        <v>12132.305533498569</v>
      </c>
      <c r="L151" s="1514">
        <f t="shared" si="99"/>
        <v>0</v>
      </c>
      <c r="M151" s="1513">
        <f t="shared" si="124"/>
        <v>12132.305533498569</v>
      </c>
      <c r="N151" s="1456">
        <f t="shared" si="130"/>
        <v>0.5</v>
      </c>
      <c r="O151" s="530">
        <f t="shared" si="100"/>
        <v>751.91700000000026</v>
      </c>
      <c r="P151" s="1212">
        <f t="shared" si="127"/>
        <v>12884.222533498569</v>
      </c>
      <c r="Q151" s="1366">
        <f t="shared" si="101"/>
        <v>46695.012407249218</v>
      </c>
      <c r="R151" s="1366">
        <f t="shared" si="125"/>
        <v>30953.87948729768</v>
      </c>
      <c r="S151" s="1516">
        <f t="shared" si="102"/>
        <v>1.2289550261420743</v>
      </c>
      <c r="T151" s="135" t="str">
        <f t="shared" si="103"/>
        <v>No</v>
      </c>
      <c r="U151" s="1516">
        <f t="shared" si="104"/>
        <v>1</v>
      </c>
      <c r="V151" s="1541">
        <f t="shared" si="96"/>
        <v>55864.486084901204</v>
      </c>
      <c r="W151" s="1542">
        <f t="shared" si="97"/>
        <v>0.31075440256461695</v>
      </c>
      <c r="X151" s="527">
        <f t="shared" si="105"/>
        <v>21507.858419631099</v>
      </c>
      <c r="Y151" s="1511">
        <f t="shared" si="106"/>
        <v>17958.521419187695</v>
      </c>
      <c r="Z151" s="1511">
        <f t="shared" si="107"/>
        <v>2794.7176712203664</v>
      </c>
      <c r="AA151" s="1511">
        <f t="shared" si="108"/>
        <v>0</v>
      </c>
      <c r="AB151" s="1511">
        <f t="shared" si="109"/>
        <v>13603.388574862045</v>
      </c>
      <c r="AC151" s="1511">
        <f t="shared" si="110"/>
        <v>55864.486084901204</v>
      </c>
      <c r="AD151" s="1556">
        <f t="shared" si="111"/>
        <v>5766.72549967956</v>
      </c>
      <c r="AE151" s="1506">
        <f t="shared" si="112"/>
        <v>0.38500055987168819</v>
      </c>
      <c r="AF151" s="1506">
        <f t="shared" si="113"/>
        <v>0.32146579477872333</v>
      </c>
      <c r="AG151" s="1506">
        <f t="shared" si="114"/>
        <v>5.0026731955844658E-2</v>
      </c>
      <c r="AH151" s="1506">
        <f t="shared" si="126"/>
        <v>0</v>
      </c>
      <c r="AI151" s="1506">
        <f t="shared" si="115"/>
        <v>0.24350691339374383</v>
      </c>
      <c r="AJ151" s="1543">
        <f t="shared" si="116"/>
        <v>1</v>
      </c>
      <c r="AK151" s="1557">
        <f t="shared" si="117"/>
        <v>21507.858419631099</v>
      </c>
      <c r="AL151" s="1558">
        <f t="shared" si="118"/>
        <v>0</v>
      </c>
      <c r="AM151" s="1558">
        <f t="shared" si="119"/>
        <v>0</v>
      </c>
      <c r="AN151" s="1558">
        <f t="shared" si="120"/>
        <v>21507.858419631099</v>
      </c>
      <c r="AO151" s="1545">
        <f t="shared" si="121"/>
        <v>0</v>
      </c>
      <c r="AV151" s="561"/>
      <c r="AW151" s="561"/>
    </row>
    <row r="152" spans="1:49">
      <c r="A152" s="127">
        <f>'Input data'!A132</f>
        <v>2032</v>
      </c>
      <c r="B152" s="1553">
        <f>'Input data'!B132</f>
        <v>67.087000000000003</v>
      </c>
      <c r="C152" s="1552">
        <f>'Input data'!C132</f>
        <v>3857.2</v>
      </c>
      <c r="D152" s="1513">
        <f>'Input data'!D132</f>
        <v>35664904.184329376</v>
      </c>
      <c r="E152" s="527">
        <f>'Input data'!J132*C152</f>
        <v>46361.112140571342</v>
      </c>
      <c r="F152" s="1511">
        <f>'Input data'!L132</f>
        <v>82026.016324900716</v>
      </c>
      <c r="G152" s="1559">
        <f>G137*(1-E6)</f>
        <v>13687.941669523079</v>
      </c>
      <c r="H152" s="1511">
        <f t="shared" si="95"/>
        <v>46384.204540347695</v>
      </c>
      <c r="I152" s="1513">
        <f t="shared" si="98"/>
        <v>35664.904184329374</v>
      </c>
      <c r="J152" s="1456">
        <f t="shared" ref="J152:J170" si="131">J151</f>
        <v>0.4</v>
      </c>
      <c r="K152" s="1514">
        <f t="shared" si="123"/>
        <v>12070.867473972998</v>
      </c>
      <c r="L152" s="1514">
        <f t="shared" si="99"/>
        <v>0</v>
      </c>
      <c r="M152" s="1513">
        <f t="shared" si="124"/>
        <v>12070.867473972998</v>
      </c>
      <c r="N152" s="1456">
        <f t="shared" si="130"/>
        <v>0.5</v>
      </c>
      <c r="O152" s="530">
        <f t="shared" si="100"/>
        <v>751.91700000000026</v>
      </c>
      <c r="P152" s="1212">
        <f t="shared" si="127"/>
        <v>12822.784473972997</v>
      </c>
      <c r="Q152" s="1366">
        <f t="shared" si="101"/>
        <v>47249.361735897772</v>
      </c>
      <c r="R152" s="1366">
        <f t="shared" si="125"/>
        <v>33561.420066374689</v>
      </c>
      <c r="S152" s="1516">
        <f t="shared" si="102"/>
        <v>1.2982930672755852</v>
      </c>
      <c r="T152" s="135" t="str">
        <f t="shared" si="103"/>
        <v>No</v>
      </c>
      <c r="U152" s="1516">
        <f t="shared" si="104"/>
        <v>1</v>
      </c>
      <c r="V152" s="1541">
        <f t="shared" si="96"/>
        <v>56175.597099600578</v>
      </c>
      <c r="W152" s="1542">
        <f t="shared" si="97"/>
        <v>0.31514902690029456</v>
      </c>
      <c r="X152" s="527">
        <f t="shared" si="105"/>
        <v>21398.942510597622</v>
      </c>
      <c r="Y152" s="1511">
        <f t="shared" si="106"/>
        <v>17978.473358196748</v>
      </c>
      <c r="Z152" s="1511">
        <f t="shared" si="107"/>
        <v>2846.9523358072647</v>
      </c>
      <c r="AA152" s="1511">
        <f t="shared" si="108"/>
        <v>0</v>
      </c>
      <c r="AB152" s="1511">
        <f t="shared" si="109"/>
        <v>13951.228894998943</v>
      </c>
      <c r="AC152" s="1511">
        <f t="shared" si="110"/>
        <v>56175.597099600578</v>
      </c>
      <c r="AD152" s="1556">
        <f t="shared" si="111"/>
        <v>7711.0008410745431</v>
      </c>
      <c r="AE152" s="1506">
        <f t="shared" si="112"/>
        <v>0.38092950703589001</v>
      </c>
      <c r="AF152" s="1506">
        <f t="shared" si="113"/>
        <v>0.32004062771812675</v>
      </c>
      <c r="AG152" s="1506">
        <f t="shared" si="114"/>
        <v>5.0679520695784595E-2</v>
      </c>
      <c r="AH152" s="1506">
        <f t="shared" si="126"/>
        <v>0</v>
      </c>
      <c r="AI152" s="1506">
        <f t="shared" si="115"/>
        <v>0.24835034455019864</v>
      </c>
      <c r="AJ152" s="1543">
        <f t="shared" si="116"/>
        <v>1</v>
      </c>
      <c r="AK152" s="1557">
        <f t="shared" si="117"/>
        <v>21398.942510597626</v>
      </c>
      <c r="AL152" s="1558">
        <f t="shared" si="118"/>
        <v>0</v>
      </c>
      <c r="AM152" s="1558">
        <f t="shared" si="119"/>
        <v>0</v>
      </c>
      <c r="AN152" s="1558">
        <f t="shared" si="120"/>
        <v>21398.942510597626</v>
      </c>
      <c r="AO152" s="1545">
        <f t="shared" si="121"/>
        <v>0</v>
      </c>
      <c r="AV152" s="561"/>
      <c r="AW152" s="561"/>
    </row>
    <row r="153" spans="1:49">
      <c r="A153" s="127">
        <f>'Input data'!A133</f>
        <v>2033</v>
      </c>
      <c r="B153" s="1553">
        <f>'Input data'!B133</f>
        <v>67.659000000000006</v>
      </c>
      <c r="C153" s="1552">
        <f>'Input data'!C133</f>
        <v>3964.01</v>
      </c>
      <c r="D153" s="1513">
        <f>'Input data'!D133</f>
        <v>35483377.6692736</v>
      </c>
      <c r="E153" s="527">
        <f>'Input data'!J133*C153</f>
        <v>47644.900999778656</v>
      </c>
      <c r="F153" s="1511">
        <f>'Input data'!L133</f>
        <v>83128.278669052263</v>
      </c>
      <c r="G153" s="1559">
        <f>G152</f>
        <v>13687.941669523079</v>
      </c>
      <c r="H153" s="1511">
        <f t="shared" si="95"/>
        <v>46950.497759444042</v>
      </c>
      <c r="I153" s="1513">
        <f t="shared" si="98"/>
        <v>35483.377669273599</v>
      </c>
      <c r="J153" s="1456">
        <f t="shared" si="131"/>
        <v>0.4</v>
      </c>
      <c r="K153" s="1514">
        <f t="shared" si="123"/>
        <v>12009.429414447433</v>
      </c>
      <c r="L153" s="1514">
        <f t="shared" si="99"/>
        <v>0</v>
      </c>
      <c r="M153" s="1513">
        <f t="shared" si="124"/>
        <v>12009.429414447433</v>
      </c>
      <c r="N153" s="1456">
        <f t="shared" si="130"/>
        <v>0.5</v>
      </c>
      <c r="O153" s="530">
        <f t="shared" si="100"/>
        <v>751.91700000000026</v>
      </c>
      <c r="P153" s="1212">
        <f t="shared" si="127"/>
        <v>12761.346414447433</v>
      </c>
      <c r="Q153" s="1366">
        <f t="shared" si="101"/>
        <v>47877.093014519683</v>
      </c>
      <c r="R153" s="1366">
        <f t="shared" si="125"/>
        <v>34189.151344996601</v>
      </c>
      <c r="S153" s="1516">
        <f t="shared" si="102"/>
        <v>1.2859316937778693</v>
      </c>
      <c r="T153" s="135" t="str">
        <f t="shared" si="103"/>
        <v>No</v>
      </c>
      <c r="U153" s="1516">
        <f t="shared" si="104"/>
        <v>1</v>
      </c>
      <c r="V153" s="1541">
        <f t="shared" si="96"/>
        <v>56541.21225609674</v>
      </c>
      <c r="W153" s="1542">
        <f t="shared" si="97"/>
        <v>0.31983179296666453</v>
      </c>
      <c r="X153" s="527">
        <f t="shared" si="105"/>
        <v>21290.026601564157</v>
      </c>
      <c r="Y153" s="1511">
        <f t="shared" si="106"/>
        <v>18008.666177720872</v>
      </c>
      <c r="Z153" s="1511">
        <f t="shared" si="107"/>
        <v>2904.9661085485213</v>
      </c>
      <c r="AA153" s="1511">
        <f t="shared" si="108"/>
        <v>0</v>
      </c>
      <c r="AB153" s="1511">
        <f t="shared" si="109"/>
        <v>14337.553368263189</v>
      </c>
      <c r="AC153" s="1511">
        <f t="shared" si="110"/>
        <v>56541.21225609674</v>
      </c>
      <c r="AD153" s="1556">
        <f t="shared" si="111"/>
        <v>7602.084932041078</v>
      </c>
      <c r="AE153" s="1506">
        <f t="shared" si="112"/>
        <v>0.3765399741543124</v>
      </c>
      <c r="AF153" s="1506">
        <f t="shared" si="113"/>
        <v>0.31850513031366828</v>
      </c>
      <c r="AG153" s="1506">
        <f t="shared" si="114"/>
        <v>5.1377853297358049E-2</v>
      </c>
      <c r="AH153" s="1506">
        <f t="shared" si="126"/>
        <v>0</v>
      </c>
      <c r="AI153" s="1506">
        <f t="shared" si="115"/>
        <v>0.25357704223466121</v>
      </c>
      <c r="AJ153" s="1543">
        <f t="shared" si="116"/>
        <v>0.99999999999999978</v>
      </c>
      <c r="AK153" s="1557">
        <f t="shared" si="117"/>
        <v>21290.026601564161</v>
      </c>
      <c r="AL153" s="1558">
        <f t="shared" si="118"/>
        <v>0</v>
      </c>
      <c r="AM153" s="1558">
        <f t="shared" si="119"/>
        <v>0</v>
      </c>
      <c r="AN153" s="1558">
        <f t="shared" si="120"/>
        <v>21290.026601564161</v>
      </c>
      <c r="AO153" s="1545">
        <f t="shared" si="121"/>
        <v>0</v>
      </c>
      <c r="AV153" s="561"/>
      <c r="AW153" s="561"/>
    </row>
    <row r="154" spans="1:49">
      <c r="A154" s="127">
        <f>'Input data'!A134</f>
        <v>2034</v>
      </c>
      <c r="B154" s="1553">
        <f>'Input data'!B134</f>
        <v>68.236999999999995</v>
      </c>
      <c r="C154" s="1552">
        <f>'Input data'!C134</f>
        <v>4078.22</v>
      </c>
      <c r="D154" s="1513">
        <f>'Input data'!D134</f>
        <v>35301851.154217809</v>
      </c>
      <c r="E154" s="527">
        <f>'Input data'!J134*C154</f>
        <v>49017.633193487723</v>
      </c>
      <c r="F154" s="1511">
        <f>'Input data'!L134</f>
        <v>84319.484347705526</v>
      </c>
      <c r="G154" s="1559">
        <f t="shared" ref="G154:G170" si="132">G153</f>
        <v>13687.941669523079</v>
      </c>
      <c r="H154" s="1511">
        <f t="shared" si="95"/>
        <v>47567.827297130847</v>
      </c>
      <c r="I154" s="1513">
        <f t="shared" si="98"/>
        <v>35301.851154217809</v>
      </c>
      <c r="J154" s="1456">
        <f t="shared" si="131"/>
        <v>0.4</v>
      </c>
      <c r="K154" s="1514">
        <f t="shared" si="123"/>
        <v>11947.991354921862</v>
      </c>
      <c r="L154" s="1514">
        <f t="shared" si="99"/>
        <v>0</v>
      </c>
      <c r="M154" s="1513">
        <f t="shared" si="124"/>
        <v>11947.991354921862</v>
      </c>
      <c r="N154" s="1456">
        <f t="shared" si="130"/>
        <v>0.5</v>
      </c>
      <c r="O154" s="530">
        <f t="shared" si="100"/>
        <v>751.91700000000026</v>
      </c>
      <c r="P154" s="1212">
        <f t="shared" si="127"/>
        <v>12699.908354921861</v>
      </c>
      <c r="Q154" s="1366">
        <f t="shared" si="101"/>
        <v>48555.86061173206</v>
      </c>
      <c r="R154" s="1366">
        <f t="shared" si="125"/>
        <v>34867.918942208984</v>
      </c>
      <c r="S154" s="1516">
        <f t="shared" si="102"/>
        <v>1.2737255699184196</v>
      </c>
      <c r="T154" s="135" t="str">
        <f t="shared" si="103"/>
        <v>No</v>
      </c>
      <c r="U154" s="1516">
        <f t="shared" si="104"/>
        <v>1</v>
      </c>
      <c r="V154" s="1541">
        <f t="shared" si="96"/>
        <v>56944.734428504162</v>
      </c>
      <c r="W154" s="1542">
        <f t="shared" si="97"/>
        <v>0.324655091654937</v>
      </c>
      <c r="X154" s="527">
        <f t="shared" si="105"/>
        <v>21181.110692530685</v>
      </c>
      <c r="Y154" s="1511">
        <f t="shared" si="106"/>
        <v>18045.981414144564</v>
      </c>
      <c r="Z154" s="1511">
        <f t="shared" si="107"/>
        <v>2966.9991858332214</v>
      </c>
      <c r="AA154" s="1511">
        <f t="shared" si="108"/>
        <v>0</v>
      </c>
      <c r="AB154" s="1511">
        <f t="shared" si="109"/>
        <v>14750.643135995693</v>
      </c>
      <c r="AC154" s="1511">
        <f t="shared" si="110"/>
        <v>56944.734428504162</v>
      </c>
      <c r="AD154" s="1556">
        <f t="shared" si="111"/>
        <v>7493.1690230076056</v>
      </c>
      <c r="AE154" s="1506">
        <f t="shared" si="112"/>
        <v>0.37195907409357071</v>
      </c>
      <c r="AF154" s="1506">
        <f t="shared" si="113"/>
        <v>0.31690342566794899</v>
      </c>
      <c r="AG154" s="1506">
        <f t="shared" si="114"/>
        <v>5.2103135006422392E-2</v>
      </c>
      <c r="AH154" s="1506">
        <f t="shared" si="126"/>
        <v>0</v>
      </c>
      <c r="AI154" s="1506">
        <f t="shared" si="115"/>
        <v>0.25903436523205797</v>
      </c>
      <c r="AJ154" s="1543">
        <f t="shared" si="116"/>
        <v>1</v>
      </c>
      <c r="AK154" s="1557">
        <f t="shared" si="117"/>
        <v>21181.110692530689</v>
      </c>
      <c r="AL154" s="1558">
        <f t="shared" si="118"/>
        <v>0</v>
      </c>
      <c r="AM154" s="1558">
        <f t="shared" si="119"/>
        <v>0</v>
      </c>
      <c r="AN154" s="1558">
        <f t="shared" si="120"/>
        <v>21181.110692530689</v>
      </c>
      <c r="AO154" s="1545">
        <f t="shared" si="121"/>
        <v>0</v>
      </c>
      <c r="AV154" s="561"/>
      <c r="AW154" s="561"/>
    </row>
    <row r="155" spans="1:49">
      <c r="A155" s="127">
        <f>'Input data'!A135</f>
        <v>2035</v>
      </c>
      <c r="B155" s="1553">
        <f>'Input data'!B135</f>
        <v>68.819000000000003</v>
      </c>
      <c r="C155" s="1552">
        <f>'Input data'!C135</f>
        <v>4200.2899999999991</v>
      </c>
      <c r="D155" s="1513">
        <f>'Input data'!D135</f>
        <v>35120324.639162026</v>
      </c>
      <c r="E155" s="527">
        <f>'Input data'!J135*C155</f>
        <v>50484.837631681105</v>
      </c>
      <c r="F155" s="1511">
        <f>'Input data'!L135</f>
        <v>85605.162270843139</v>
      </c>
      <c r="G155" s="1559">
        <f t="shared" si="132"/>
        <v>13687.941669523079</v>
      </c>
      <c r="H155" s="1511">
        <f t="shared" si="95"/>
        <v>48239.365681320531</v>
      </c>
      <c r="I155" s="1513">
        <f t="shared" si="98"/>
        <v>35120.324639162027</v>
      </c>
      <c r="J155" s="1456">
        <f t="shared" si="131"/>
        <v>0.4</v>
      </c>
      <c r="K155" s="1514">
        <f t="shared" si="123"/>
        <v>11886.553295396294</v>
      </c>
      <c r="L155" s="1514">
        <f t="shared" si="99"/>
        <v>0</v>
      </c>
      <c r="M155" s="1513">
        <f t="shared" si="124"/>
        <v>11886.553295396294</v>
      </c>
      <c r="N155" s="1456">
        <f t="shared" si="130"/>
        <v>0.5</v>
      </c>
      <c r="O155" s="530">
        <f t="shared" si="100"/>
        <v>751.91700000000026</v>
      </c>
      <c r="P155" s="1212">
        <f t="shared" si="127"/>
        <v>12638.470295396293</v>
      </c>
      <c r="Q155" s="1366">
        <f t="shared" si="101"/>
        <v>49288.837055447315</v>
      </c>
      <c r="R155" s="1366">
        <f t="shared" si="125"/>
        <v>35600.895385924232</v>
      </c>
      <c r="S155" s="1516">
        <f t="shared" si="102"/>
        <v>1.2616985055417012</v>
      </c>
      <c r="T155" s="135" t="str">
        <f t="shared" si="103"/>
        <v>No</v>
      </c>
      <c r="U155" s="1516">
        <f t="shared" si="104"/>
        <v>1</v>
      </c>
      <c r="V155" s="1541">
        <f t="shared" si="96"/>
        <v>57388.51999889304</v>
      </c>
      <c r="W155" s="1542">
        <f t="shared" si="97"/>
        <v>0.32961379341442587</v>
      </c>
      <c r="X155" s="527">
        <f t="shared" si="105"/>
        <v>21072.194783497216</v>
      </c>
      <c r="Y155" s="1511">
        <f t="shared" si="106"/>
        <v>18090.861812302133</v>
      </c>
      <c r="Z155" s="1511">
        <f t="shared" si="107"/>
        <v>3033.3014163221746</v>
      </c>
      <c r="AA155" s="1511">
        <f t="shared" si="108"/>
        <v>0</v>
      </c>
      <c r="AB155" s="1511">
        <f t="shared" si="109"/>
        <v>15192.161986771516</v>
      </c>
      <c r="AC155" s="1511">
        <f t="shared" si="110"/>
        <v>57388.51999889304</v>
      </c>
      <c r="AD155" s="1556">
        <f t="shared" si="111"/>
        <v>7384.2531139741368</v>
      </c>
      <c r="AE155" s="1506">
        <f t="shared" si="112"/>
        <v>0.36718484435395221</v>
      </c>
      <c r="AF155" s="1506">
        <f t="shared" si="113"/>
        <v>0.31523485555388231</v>
      </c>
      <c r="AG155" s="1506">
        <f t="shared" si="114"/>
        <v>5.2855543519517205E-2</v>
      </c>
      <c r="AH155" s="1506">
        <f t="shared" si="126"/>
        <v>0</v>
      </c>
      <c r="AI155" s="1506">
        <f t="shared" si="115"/>
        <v>0.26472475657264827</v>
      </c>
      <c r="AJ155" s="1543">
        <f t="shared" si="116"/>
        <v>0.99999999999999989</v>
      </c>
      <c r="AK155" s="1557">
        <f t="shared" si="117"/>
        <v>21072.194783497212</v>
      </c>
      <c r="AL155" s="1558">
        <f t="shared" si="118"/>
        <v>0</v>
      </c>
      <c r="AM155" s="1558">
        <f t="shared" si="119"/>
        <v>0</v>
      </c>
      <c r="AN155" s="1558">
        <f t="shared" si="120"/>
        <v>21072.194783497212</v>
      </c>
      <c r="AO155" s="1545">
        <f t="shared" si="121"/>
        <v>0</v>
      </c>
      <c r="AV155" s="561"/>
      <c r="AW155" s="561"/>
    </row>
    <row r="156" spans="1:49">
      <c r="A156" s="127">
        <f>'Input data'!A136</f>
        <v>2036</v>
      </c>
      <c r="B156" s="1553">
        <f>'Input data'!B136</f>
        <v>69.322999999999993</v>
      </c>
      <c r="C156" s="1552">
        <f>'Input data'!C136</f>
        <v>4325.9699999999993</v>
      </c>
      <c r="D156" s="1513">
        <f>'Input data'!D136</f>
        <v>32285395.803631678</v>
      </c>
      <c r="E156" s="527">
        <f>'Input data'!J136*C156</f>
        <v>51995.431993867933</v>
      </c>
      <c r="F156" s="1511">
        <f>'Input data'!L136</f>
        <v>84280.827797499616</v>
      </c>
      <c r="G156" s="1559">
        <f t="shared" si="132"/>
        <v>13687.941669523079</v>
      </c>
      <c r="H156" s="1511">
        <f t="shared" si="95"/>
        <v>46445.710104756421</v>
      </c>
      <c r="I156" s="1513">
        <f t="shared" si="98"/>
        <v>32285.39580363168</v>
      </c>
      <c r="J156" s="1456">
        <f t="shared" si="131"/>
        <v>0.4</v>
      </c>
      <c r="K156" s="1514">
        <f t="shared" si="123"/>
        <v>10927.065220089276</v>
      </c>
      <c r="L156" s="1514">
        <f t="shared" si="99"/>
        <v>0</v>
      </c>
      <c r="M156" s="1513">
        <f t="shared" si="124"/>
        <v>10927.065220089276</v>
      </c>
      <c r="N156" s="1456">
        <f t="shared" si="130"/>
        <v>0.5</v>
      </c>
      <c r="O156" s="530">
        <f t="shared" si="100"/>
        <v>751.91700000000026</v>
      </c>
      <c r="P156" s="1212">
        <f t="shared" si="127"/>
        <v>11678.982220089276</v>
      </c>
      <c r="Q156" s="1366">
        <f t="shared" si="101"/>
        <v>48454.669554190223</v>
      </c>
      <c r="R156" s="1366">
        <f t="shared" si="125"/>
        <v>34766.72788466714</v>
      </c>
      <c r="S156" s="1516">
        <f t="shared" si="102"/>
        <v>1.1954135192361053</v>
      </c>
      <c r="T156" s="135" t="str">
        <f t="shared" si="103"/>
        <v>No</v>
      </c>
      <c r="U156" s="1516">
        <f t="shared" si="104"/>
        <v>1</v>
      </c>
      <c r="V156" s="1541">
        <f t="shared" si="96"/>
        <v>55197.395725488401</v>
      </c>
      <c r="W156" s="1542">
        <f t="shared" si="97"/>
        <v>0.34507767462713557</v>
      </c>
      <c r="X156" s="527">
        <f t="shared" si="105"/>
        <v>19371.237482179007</v>
      </c>
      <c r="Y156" s="1511">
        <f t="shared" si="106"/>
        <v>17077.855866730344</v>
      </c>
      <c r="Z156" s="1511">
        <f t="shared" si="107"/>
        <v>3101.5644156492149</v>
      </c>
      <c r="AA156" s="1511">
        <f t="shared" si="108"/>
        <v>0</v>
      </c>
      <c r="AB156" s="1511">
        <f t="shared" si="109"/>
        <v>15646.737960929839</v>
      </c>
      <c r="AC156" s="1511">
        <f t="shared" si="110"/>
        <v>55197.395725488401</v>
      </c>
      <c r="AD156" s="1556">
        <f t="shared" si="111"/>
        <v>5683.2958126559279</v>
      </c>
      <c r="AE156" s="1506">
        <f t="shared" si="112"/>
        <v>0.35094477244030531</v>
      </c>
      <c r="AF156" s="1506">
        <f t="shared" si="113"/>
        <v>0.30939604382176195</v>
      </c>
      <c r="AG156" s="1506">
        <f t="shared" si="114"/>
        <v>5.6190412154119275E-2</v>
      </c>
      <c r="AH156" s="1506">
        <f t="shared" si="126"/>
        <v>0</v>
      </c>
      <c r="AI156" s="1506">
        <f t="shared" si="115"/>
        <v>0.28346877158381356</v>
      </c>
      <c r="AJ156" s="1543">
        <f t="shared" si="116"/>
        <v>1</v>
      </c>
      <c r="AK156" s="1557">
        <f t="shared" si="117"/>
        <v>19371.237482179007</v>
      </c>
      <c r="AL156" s="1558">
        <f t="shared" si="118"/>
        <v>0</v>
      </c>
      <c r="AM156" s="1558">
        <f t="shared" si="119"/>
        <v>0</v>
      </c>
      <c r="AN156" s="1558">
        <f t="shared" si="120"/>
        <v>19371.237482179007</v>
      </c>
      <c r="AO156" s="1545">
        <f t="shared" si="121"/>
        <v>0</v>
      </c>
      <c r="AV156" s="561"/>
      <c r="AW156" s="561"/>
    </row>
    <row r="157" spans="1:49">
      <c r="A157" s="127">
        <f>'Input data'!A137</f>
        <v>2037</v>
      </c>
      <c r="B157" s="1553">
        <f>'Input data'!B137</f>
        <v>69.83</v>
      </c>
      <c r="C157" s="1552">
        <f>'Input data'!C137</f>
        <v>4457.0000000000018</v>
      </c>
      <c r="D157" s="1513">
        <f>'Input data'!D137</f>
        <v>29450466.968101323</v>
      </c>
      <c r="E157" s="527">
        <f>'Input data'!J137*C157</f>
        <v>53570.329983025658</v>
      </c>
      <c r="F157" s="1511">
        <f>'Input data'!L137</f>
        <v>83020.796951126977</v>
      </c>
      <c r="G157" s="1559">
        <f t="shared" si="132"/>
        <v>13687.941669523079</v>
      </c>
      <c r="H157" s="1511">
        <f t="shared" si="95"/>
        <v>44688.952407173274</v>
      </c>
      <c r="I157" s="1513">
        <f t="shared" si="98"/>
        <v>29450.466968101322</v>
      </c>
      <c r="J157" s="1456">
        <f t="shared" si="131"/>
        <v>0.4</v>
      </c>
      <c r="K157" s="1514">
        <f t="shared" si="123"/>
        <v>9967.5771447822535</v>
      </c>
      <c r="L157" s="1514">
        <f t="shared" si="99"/>
        <v>0</v>
      </c>
      <c r="M157" s="1513">
        <f t="shared" si="124"/>
        <v>9967.5771447822535</v>
      </c>
      <c r="N157" s="1456">
        <f t="shared" si="130"/>
        <v>0.5</v>
      </c>
      <c r="O157" s="530">
        <f t="shared" si="100"/>
        <v>751.91700000000026</v>
      </c>
      <c r="P157" s="1212">
        <f t="shared" si="127"/>
        <v>10719.494144782253</v>
      </c>
      <c r="Q157" s="1366">
        <f t="shared" si="101"/>
        <v>47657.3999319141</v>
      </c>
      <c r="R157" s="1366">
        <f t="shared" si="125"/>
        <v>33969.458262391025</v>
      </c>
      <c r="S157" s="1516">
        <f t="shared" si="102"/>
        <v>1.1328016343149407</v>
      </c>
      <c r="T157" s="135" t="str">
        <f t="shared" si="103"/>
        <v>No</v>
      </c>
      <c r="U157" s="1516">
        <f t="shared" si="104"/>
        <v>1</v>
      </c>
      <c r="V157" s="1541">
        <f t="shared" si="96"/>
        <v>53033.677200073682</v>
      </c>
      <c r="W157" s="1542">
        <f t="shared" si="97"/>
        <v>0.36120009506420703</v>
      </c>
      <c r="X157" s="527">
        <f t="shared" si="105"/>
        <v>17670.280180860791</v>
      </c>
      <c r="Y157" s="1511">
        <f t="shared" si="106"/>
        <v>16069.999236079195</v>
      </c>
      <c r="Z157" s="1511">
        <f t="shared" si="107"/>
        <v>3172.7332635313132</v>
      </c>
      <c r="AA157" s="1511">
        <f t="shared" si="108"/>
        <v>0</v>
      </c>
      <c r="AB157" s="1511">
        <f t="shared" si="109"/>
        <v>16120.664519602384</v>
      </c>
      <c r="AC157" s="1511">
        <f t="shared" si="110"/>
        <v>53033.677200073682</v>
      </c>
      <c r="AD157" s="1556">
        <f t="shared" si="111"/>
        <v>3982.3385113377117</v>
      </c>
      <c r="AE157" s="1506">
        <f t="shared" si="112"/>
        <v>0.33318979776186897</v>
      </c>
      <c r="AF157" s="1506">
        <f t="shared" si="113"/>
        <v>0.30301499131304566</v>
      </c>
      <c r="AG157" s="1506">
        <f t="shared" si="114"/>
        <v>5.9824877908464268E-2</v>
      </c>
      <c r="AH157" s="1506">
        <f t="shared" si="126"/>
        <v>0</v>
      </c>
      <c r="AI157" s="1506">
        <f t="shared" si="115"/>
        <v>0.30397033301662113</v>
      </c>
      <c r="AJ157" s="1543">
        <f t="shared" si="116"/>
        <v>1</v>
      </c>
      <c r="AK157" s="1557">
        <f t="shared" si="117"/>
        <v>17670.280180860791</v>
      </c>
      <c r="AL157" s="1558">
        <f t="shared" si="118"/>
        <v>0</v>
      </c>
      <c r="AM157" s="1558">
        <f t="shared" si="119"/>
        <v>0</v>
      </c>
      <c r="AN157" s="1558">
        <f t="shared" si="120"/>
        <v>17670.280180860791</v>
      </c>
      <c r="AO157" s="1545">
        <f t="shared" si="121"/>
        <v>0</v>
      </c>
      <c r="AV157" s="561"/>
      <c r="AW157" s="561"/>
    </row>
    <row r="158" spans="1:49">
      <c r="A158" s="127">
        <f>'Input data'!A138</f>
        <v>2038</v>
      </c>
      <c r="B158" s="1553">
        <f>'Input data'!B138</f>
        <v>70.341999999999999</v>
      </c>
      <c r="C158" s="1552">
        <f>'Input data'!C138</f>
        <v>4590.03</v>
      </c>
      <c r="D158" s="1513">
        <f>'Input data'!D138</f>
        <v>26615538.132570967</v>
      </c>
      <c r="E158" s="527">
        <f>'Input data'!J138*C158</f>
        <v>55169.266711237862</v>
      </c>
      <c r="F158" s="1511">
        <f>'Input data'!L138</f>
        <v>81784.80484380883</v>
      </c>
      <c r="G158" s="1511">
        <f t="shared" si="132"/>
        <v>13687.941669523079</v>
      </c>
      <c r="H158" s="1511">
        <f t="shared" si="95"/>
        <v>42945.988309209148</v>
      </c>
      <c r="I158" s="1513">
        <f t="shared" si="98"/>
        <v>26615.538132570968</v>
      </c>
      <c r="J158" s="1456">
        <f t="shared" si="131"/>
        <v>0.4</v>
      </c>
      <c r="K158" s="1514">
        <f t="shared" si="123"/>
        <v>9008.0890694752325</v>
      </c>
      <c r="L158" s="1514">
        <f t="shared" si="99"/>
        <v>0</v>
      </c>
      <c r="M158" s="1513">
        <f t="shared" si="124"/>
        <v>9008.0890694752325</v>
      </c>
      <c r="N158" s="1456">
        <f t="shared" si="130"/>
        <v>0.5</v>
      </c>
      <c r="O158" s="530">
        <f t="shared" si="100"/>
        <v>751.91700000000026</v>
      </c>
      <c r="P158" s="1212">
        <f t="shared" si="127"/>
        <v>9760.0060694752319</v>
      </c>
      <c r="Q158" s="1366">
        <f t="shared" si="101"/>
        <v>46873.923909256991</v>
      </c>
      <c r="R158" s="1366">
        <f t="shared" si="125"/>
        <v>33185.982239733916</v>
      </c>
      <c r="S158" s="1516">
        <f t="shared" si="102"/>
        <v>1.0738201152581126</v>
      </c>
      <c r="T158" s="135" t="str">
        <f t="shared" si="103"/>
        <v>No</v>
      </c>
      <c r="U158" s="1516">
        <f t="shared" si="104"/>
        <v>1</v>
      </c>
      <c r="V158" s="1541">
        <f t="shared" si="96"/>
        <v>50880.203814094421</v>
      </c>
      <c r="W158" s="1542">
        <f t="shared" si="97"/>
        <v>0.37787705294076901</v>
      </c>
      <c r="X158" s="527">
        <f t="shared" si="105"/>
        <v>15969.32287954258</v>
      </c>
      <c r="Y158" s="1511">
        <f t="shared" si="106"/>
        <v>15064.067582968466</v>
      </c>
      <c r="Z158" s="1511">
        <f t="shared" si="107"/>
        <v>3244.988409938665</v>
      </c>
      <c r="AA158" s="1511">
        <f t="shared" si="108"/>
        <v>0</v>
      </c>
      <c r="AB158" s="1511">
        <f t="shared" si="109"/>
        <v>16601.824941644718</v>
      </c>
      <c r="AC158" s="1511">
        <f t="shared" si="110"/>
        <v>50880.203814094421</v>
      </c>
      <c r="AD158" s="1556">
        <f t="shared" si="111"/>
        <v>2281.3812100195009</v>
      </c>
      <c r="AE158" s="1506">
        <f t="shared" si="112"/>
        <v>0.313861220719381</v>
      </c>
      <c r="AF158" s="1506">
        <f t="shared" si="113"/>
        <v>0.29606932468292396</v>
      </c>
      <c r="AG158" s="1506">
        <f t="shared" si="114"/>
        <v>6.3777032454413338E-2</v>
      </c>
      <c r="AH158" s="1506">
        <f t="shared" si="126"/>
        <v>0</v>
      </c>
      <c r="AI158" s="1506">
        <f t="shared" si="115"/>
        <v>0.32629242214328191</v>
      </c>
      <c r="AJ158" s="1543">
        <f t="shared" si="116"/>
        <v>1.0000000000000002</v>
      </c>
      <c r="AK158" s="1557">
        <f t="shared" si="117"/>
        <v>15969.32287954258</v>
      </c>
      <c r="AL158" s="1558">
        <f t="shared" si="118"/>
        <v>0</v>
      </c>
      <c r="AM158" s="1558">
        <f t="shared" si="119"/>
        <v>0</v>
      </c>
      <c r="AN158" s="1558">
        <f t="shared" si="120"/>
        <v>15969.32287954258</v>
      </c>
      <c r="AO158" s="1545">
        <f t="shared" si="121"/>
        <v>0</v>
      </c>
      <c r="AV158" s="561"/>
      <c r="AW158" s="561"/>
    </row>
    <row r="159" spans="1:49">
      <c r="A159" s="127">
        <f>'Input data'!A139</f>
        <v>2039</v>
      </c>
      <c r="B159" s="1553">
        <f>'Input data'!B139</f>
        <v>70.856999999999999</v>
      </c>
      <c r="C159" s="1552">
        <f>'Input data'!C139</f>
        <v>4728.5300000000007</v>
      </c>
      <c r="D159" s="1513">
        <f>'Input data'!D139</f>
        <v>23780609.297040608</v>
      </c>
      <c r="E159" s="527">
        <f>'Input data'!J139*C159</f>
        <v>56833.949390764246</v>
      </c>
      <c r="F159" s="1511">
        <f>'Input data'!L139</f>
        <v>80614.558687804849</v>
      </c>
      <c r="G159" s="1511">
        <f t="shared" si="132"/>
        <v>13687.941669523079</v>
      </c>
      <c r="H159" s="1511">
        <f t="shared" si="95"/>
        <v>41240.749706203133</v>
      </c>
      <c r="I159" s="1513">
        <f t="shared" si="98"/>
        <v>23780.609297040606</v>
      </c>
      <c r="J159" s="1456">
        <f t="shared" si="131"/>
        <v>0.4</v>
      </c>
      <c r="K159" s="1514">
        <f t="shared" si="123"/>
        <v>8048.6009941682096</v>
      </c>
      <c r="L159" s="1514">
        <f t="shared" si="99"/>
        <v>0</v>
      </c>
      <c r="M159" s="1513">
        <f t="shared" si="124"/>
        <v>8048.6009941682096</v>
      </c>
      <c r="N159" s="1456">
        <f t="shared" si="130"/>
        <v>0.5</v>
      </c>
      <c r="O159" s="530">
        <f t="shared" si="100"/>
        <v>751.91700000000026</v>
      </c>
      <c r="P159" s="1212">
        <f t="shared" si="127"/>
        <v>8800.517994168209</v>
      </c>
      <c r="Q159" s="1366">
        <f t="shared" si="101"/>
        <v>46128.173381558001</v>
      </c>
      <c r="R159" s="1366">
        <f t="shared" si="125"/>
        <v>32440.231712034922</v>
      </c>
      <c r="S159" s="1516">
        <f t="shared" si="102"/>
        <v>1.0182180605822913</v>
      </c>
      <c r="T159" s="135" t="str">
        <f t="shared" si="103"/>
        <v>No</v>
      </c>
      <c r="U159" s="1516">
        <f t="shared" si="104"/>
        <v>1</v>
      </c>
      <c r="V159" s="1541">
        <f t="shared" si="96"/>
        <v>48754.750884471221</v>
      </c>
      <c r="W159" s="1542">
        <f t="shared" si="97"/>
        <v>0.39521158860047567</v>
      </c>
      <c r="X159" s="527">
        <f t="shared" si="105"/>
        <v>14268.365578224364</v>
      </c>
      <c r="Y159" s="1511">
        <f t="shared" si="106"/>
        <v>14063.400743430801</v>
      </c>
      <c r="Z159" s="1511">
        <f t="shared" si="107"/>
        <v>3320.2145828125908</v>
      </c>
      <c r="AA159" s="1511">
        <f t="shared" si="108"/>
        <v>0</v>
      </c>
      <c r="AB159" s="1511">
        <f t="shared" si="109"/>
        <v>17102.769980003464</v>
      </c>
      <c r="AC159" s="1511">
        <f t="shared" si="110"/>
        <v>48754.750884471221</v>
      </c>
      <c r="AD159" s="1556">
        <f t="shared" si="111"/>
        <v>580.42390870128474</v>
      </c>
      <c r="AE159" s="1506">
        <f t="shared" si="112"/>
        <v>0.292655901617353</v>
      </c>
      <c r="AF159" s="1506">
        <f t="shared" si="113"/>
        <v>0.28845190444630303</v>
      </c>
      <c r="AG159" s="1506">
        <f t="shared" si="114"/>
        <v>6.8100329149053368E-2</v>
      </c>
      <c r="AH159" s="1506">
        <f t="shared" si="126"/>
        <v>0</v>
      </c>
      <c r="AI159" s="1506">
        <f t="shared" si="115"/>
        <v>0.35079186478729057</v>
      </c>
      <c r="AJ159" s="1543">
        <f t="shared" si="116"/>
        <v>1</v>
      </c>
      <c r="AK159" s="1557">
        <f t="shared" si="117"/>
        <v>14268.365578224362</v>
      </c>
      <c r="AL159" s="1558">
        <f t="shared" si="118"/>
        <v>0</v>
      </c>
      <c r="AM159" s="1558">
        <f t="shared" si="119"/>
        <v>0</v>
      </c>
      <c r="AN159" s="1558">
        <f t="shared" si="120"/>
        <v>14268.365578224362</v>
      </c>
      <c r="AO159" s="1545">
        <f t="shared" si="121"/>
        <v>0</v>
      </c>
      <c r="AV159" s="561"/>
      <c r="AW159" s="561"/>
    </row>
    <row r="160" spans="1:49">
      <c r="A160" s="127">
        <f>'Input data'!A140</f>
        <v>2040</v>
      </c>
      <c r="B160" s="1553">
        <f>'Input data'!B140</f>
        <v>71.375</v>
      </c>
      <c r="C160" s="1552">
        <f>'Input data'!C140</f>
        <v>4875.51</v>
      </c>
      <c r="D160" s="1513">
        <f>'Input data'!D140</f>
        <v>20945680.461510252</v>
      </c>
      <c r="E160" s="527">
        <f>'Input data'!J140*C160</f>
        <v>58600.556323881829</v>
      </c>
      <c r="F160" s="1511">
        <f>'Input data'!L140</f>
        <v>79546.236785392073</v>
      </c>
      <c r="G160" s="1511">
        <f t="shared" si="132"/>
        <v>13687.941669523079</v>
      </c>
      <c r="H160" s="1511">
        <f t="shared" si="95"/>
        <v>39593.995965581897</v>
      </c>
      <c r="I160" s="1513">
        <f t="shared" si="98"/>
        <v>20945.680461510252</v>
      </c>
      <c r="J160" s="1456">
        <f t="shared" si="131"/>
        <v>0.4</v>
      </c>
      <c r="K160" s="1514">
        <f t="shared" si="123"/>
        <v>7089.1129188611885</v>
      </c>
      <c r="L160" s="1514">
        <f t="shared" si="99"/>
        <v>0</v>
      </c>
      <c r="M160" s="1513">
        <f t="shared" si="124"/>
        <v>7089.1129188611885</v>
      </c>
      <c r="N160" s="1456">
        <f t="shared" si="130"/>
        <v>0.5</v>
      </c>
      <c r="O160" s="530">
        <f t="shared" si="100"/>
        <v>751.91700000000026</v>
      </c>
      <c r="P160" s="1212">
        <f t="shared" si="127"/>
        <v>7841.0299188611889</v>
      </c>
      <c r="Q160" s="1366">
        <f t="shared" si="101"/>
        <v>45440.907716243782</v>
      </c>
      <c r="R160" s="1366">
        <f t="shared" si="125"/>
        <v>31752.966046720703</v>
      </c>
      <c r="S160" s="1516">
        <f t="shared" si="102"/>
        <v>0.96591377821869318</v>
      </c>
      <c r="T160" s="135" t="str">
        <f t="shared" si="103"/>
        <v>Yes</v>
      </c>
      <c r="U160" s="1516">
        <f t="shared" si="104"/>
        <v>0.96591377821869318</v>
      </c>
      <c r="V160" s="1541">
        <f t="shared" si="96"/>
        <v>47793.270738671388</v>
      </c>
      <c r="W160" s="1542">
        <f t="shared" si="97"/>
        <v>0.39917621913890244</v>
      </c>
      <c r="X160" s="527">
        <f t="shared" si="105"/>
        <v>13687.941669523079</v>
      </c>
      <c r="Y160" s="1511">
        <f t="shared" si="106"/>
        <v>13070.895808664543</v>
      </c>
      <c r="Z160" s="1511">
        <f t="shared" si="107"/>
        <v>3400.0466614335983</v>
      </c>
      <c r="AA160" s="1511">
        <f t="shared" si="108"/>
        <v>0</v>
      </c>
      <c r="AB160" s="1511">
        <f t="shared" si="109"/>
        <v>17634.386599050165</v>
      </c>
      <c r="AC160" s="1511">
        <f t="shared" si="110"/>
        <v>47793.270738671388</v>
      </c>
      <c r="AD160" s="1537">
        <f t="shared" si="111"/>
        <v>0</v>
      </c>
      <c r="AE160" s="1506">
        <f t="shared" si="112"/>
        <v>0.28639893143884865</v>
      </c>
      <c r="AF160" s="1506">
        <f t="shared" si="113"/>
        <v>0.27348820464987289</v>
      </c>
      <c r="AG160" s="1506">
        <f t="shared" si="114"/>
        <v>7.1140698447375542E-2</v>
      </c>
      <c r="AH160" s="1506">
        <f t="shared" si="126"/>
        <v>0</v>
      </c>
      <c r="AI160" s="1506">
        <f t="shared" si="115"/>
        <v>0.36897216546390282</v>
      </c>
      <c r="AJ160" s="1543">
        <f t="shared" si="116"/>
        <v>1</v>
      </c>
      <c r="AK160" s="1557">
        <f t="shared" si="117"/>
        <v>12567.40827690615</v>
      </c>
      <c r="AL160" s="1558">
        <f t="shared" si="118"/>
        <v>1066.0751045622951</v>
      </c>
      <c r="AM160" s="1558">
        <f t="shared" si="119"/>
        <v>54.458288054632654</v>
      </c>
      <c r="AN160" s="1558">
        <f t="shared" si="120"/>
        <v>13687.941669523078</v>
      </c>
      <c r="AO160" s="1545">
        <f t="shared" si="121"/>
        <v>0</v>
      </c>
      <c r="AV160" s="561"/>
      <c r="AW160" s="561"/>
    </row>
    <row r="161" spans="1:49">
      <c r="A161" s="127">
        <f>'Input data'!A141</f>
        <v>2041</v>
      </c>
      <c r="B161" s="1553">
        <f>'Input data'!B141</f>
        <v>71.819000000000003</v>
      </c>
      <c r="C161" s="1552">
        <f>'Input data'!C141</f>
        <v>5028.54</v>
      </c>
      <c r="D161" s="1513">
        <f>'Input data'!D141</f>
        <v>19664699.523913871</v>
      </c>
      <c r="E161" s="527">
        <f>'Input data'!J141*C161</f>
        <v>60439.880442639384</v>
      </c>
      <c r="F161" s="1511">
        <f>'Input data'!L141</f>
        <v>80104.579966553254</v>
      </c>
      <c r="G161" s="1511">
        <f t="shared" si="132"/>
        <v>13687.941669523079</v>
      </c>
      <c r="H161" s="1511">
        <f t="shared" si="95"/>
        <v>39447.27378272971</v>
      </c>
      <c r="I161" s="1513">
        <f t="shared" si="98"/>
        <v>19664.699523913871</v>
      </c>
      <c r="J161" s="1456">
        <f t="shared" si="131"/>
        <v>0.4</v>
      </c>
      <c r="K161" s="1514">
        <f t="shared" si="123"/>
        <v>6655.5620237152089</v>
      </c>
      <c r="L161" s="1514">
        <f t="shared" si="99"/>
        <v>0</v>
      </c>
      <c r="M161" s="1513">
        <f t="shared" si="124"/>
        <v>6655.5620237152089</v>
      </c>
      <c r="N161" s="1456">
        <f t="shared" si="130"/>
        <v>0.5</v>
      </c>
      <c r="O161" s="530">
        <f t="shared" si="100"/>
        <v>751.91700000000026</v>
      </c>
      <c r="P161" s="1212">
        <f t="shared" si="127"/>
        <v>7407.4790237152092</v>
      </c>
      <c r="Q161" s="1366">
        <f t="shared" si="101"/>
        <v>45727.736428537573</v>
      </c>
      <c r="R161" s="1366">
        <f t="shared" si="125"/>
        <v>32039.794759014494</v>
      </c>
      <c r="S161" s="1516">
        <f t="shared" si="102"/>
        <v>0.94432118269238108</v>
      </c>
      <c r="T161" s="135" t="str">
        <f t="shared" si="103"/>
        <v>Yes</v>
      </c>
      <c r="U161" s="1516">
        <f t="shared" si="104"/>
        <v>0.94432118269238108</v>
      </c>
      <c r="V161" s="1541">
        <f t="shared" si="96"/>
        <v>48064.785207538771</v>
      </c>
      <c r="W161" s="1542">
        <f t="shared" si="97"/>
        <v>0.39997456790101549</v>
      </c>
      <c r="X161" s="527">
        <f t="shared" si="105"/>
        <v>13687.941669523083</v>
      </c>
      <c r="Y161" s="1511">
        <f t="shared" si="106"/>
        <v>12705.793090131663</v>
      </c>
      <c r="Z161" s="1511">
        <f t="shared" si="107"/>
        <v>3483.1647930935037</v>
      </c>
      <c r="AA161" s="1511">
        <f t="shared" si="108"/>
        <v>0</v>
      </c>
      <c r="AB161" s="1511">
        <f t="shared" si="109"/>
        <v>18187.88565479052</v>
      </c>
      <c r="AC161" s="1511">
        <f t="shared" si="110"/>
        <v>48064.785207538771</v>
      </c>
      <c r="AD161" s="1537">
        <f t="shared" si="111"/>
        <v>0</v>
      </c>
      <c r="AE161" s="1506">
        <f t="shared" si="112"/>
        <v>0.2847810847467635</v>
      </c>
      <c r="AF161" s="1506">
        <f t="shared" si="113"/>
        <v>0.26434723540882088</v>
      </c>
      <c r="AG161" s="1506">
        <f t="shared" si="114"/>
        <v>7.246812355560435E-2</v>
      </c>
      <c r="AH161" s="1506">
        <f t="shared" si="126"/>
        <v>0</v>
      </c>
      <c r="AI161" s="1506">
        <f t="shared" si="115"/>
        <v>0.37840355628881123</v>
      </c>
      <c r="AJ161" s="1543">
        <f t="shared" si="116"/>
        <v>1</v>
      </c>
      <c r="AK161" s="1557">
        <f t="shared" si="117"/>
        <v>11798.819714348321</v>
      </c>
      <c r="AL161" s="1558">
        <f t="shared" si="118"/>
        <v>1796.0598126867446</v>
      </c>
      <c r="AM161" s="1558">
        <f t="shared" si="119"/>
        <v>93.062142488016335</v>
      </c>
      <c r="AN161" s="1558">
        <f t="shared" si="120"/>
        <v>13687.941669523081</v>
      </c>
      <c r="AO161" s="1545">
        <f t="shared" si="121"/>
        <v>0</v>
      </c>
      <c r="AV161" s="561"/>
      <c r="AW161" s="561"/>
    </row>
    <row r="162" spans="1:49">
      <c r="A162" s="127">
        <f>'Input data'!A142</f>
        <v>2042</v>
      </c>
      <c r="B162" s="1553">
        <f>'Input data'!B142</f>
        <v>72.265000000000001</v>
      </c>
      <c r="C162" s="1552">
        <f>'Input data'!C142</f>
        <v>5188.1000000000004</v>
      </c>
      <c r="D162" s="1513">
        <f>'Input data'!D142</f>
        <v>18383718.586317491</v>
      </c>
      <c r="E162" s="527">
        <f>'Input data'!J142*C162</f>
        <v>62357.691044409985</v>
      </c>
      <c r="F162" s="1511">
        <f>'Input data'!L142</f>
        <v>80741.409630727474</v>
      </c>
      <c r="G162" s="1511">
        <f t="shared" si="132"/>
        <v>13687.941669523079</v>
      </c>
      <c r="H162" s="1511">
        <f t="shared" si="95"/>
        <v>39345.587702633726</v>
      </c>
      <c r="I162" s="1513">
        <f t="shared" si="98"/>
        <v>18383.718586317489</v>
      </c>
      <c r="J162" s="1456">
        <f t="shared" si="131"/>
        <v>0.4</v>
      </c>
      <c r="K162" s="1514">
        <f t="shared" si="123"/>
        <v>6222.0111285692301</v>
      </c>
      <c r="L162" s="1514">
        <f t="shared" si="99"/>
        <v>0</v>
      </c>
      <c r="M162" s="1513">
        <f t="shared" si="124"/>
        <v>6222.0111285692301</v>
      </c>
      <c r="N162" s="1456">
        <f t="shared" si="130"/>
        <v>0.5</v>
      </c>
      <c r="O162" s="530">
        <f t="shared" si="100"/>
        <v>751.91700000000026</v>
      </c>
      <c r="P162" s="1212">
        <f t="shared" si="127"/>
        <v>6973.9281285692305</v>
      </c>
      <c r="Q162" s="1366">
        <f t="shared" si="101"/>
        <v>46059.601243587575</v>
      </c>
      <c r="R162" s="1366">
        <f t="shared" si="125"/>
        <v>32371.659574064495</v>
      </c>
      <c r="S162" s="1516">
        <f t="shared" si="102"/>
        <v>0.92412908051820908</v>
      </c>
      <c r="T162" s="135" t="str">
        <f t="shared" si="103"/>
        <v>Yes</v>
      </c>
      <c r="U162" s="1516">
        <f t="shared" si="104"/>
        <v>0.92412908051820908</v>
      </c>
      <c r="V162" s="1541">
        <f t="shared" si="96"/>
        <v>48369.75005666299</v>
      </c>
      <c r="W162" s="1542">
        <f t="shared" si="97"/>
        <v>0.40093007692232452</v>
      </c>
      <c r="X162" s="527">
        <f t="shared" si="105"/>
        <v>13687.941669523083</v>
      </c>
      <c r="Y162" s="1511">
        <f t="shared" si="106"/>
        <v>12346.975423268272</v>
      </c>
      <c r="Z162" s="1511">
        <f t="shared" si="107"/>
        <v>3569.829689438367</v>
      </c>
      <c r="AA162" s="1511">
        <f t="shared" si="108"/>
        <v>0</v>
      </c>
      <c r="AB162" s="1511">
        <f t="shared" si="109"/>
        <v>18765.003274433271</v>
      </c>
      <c r="AC162" s="1511">
        <f t="shared" si="110"/>
        <v>48369.75005666299</v>
      </c>
      <c r="AD162" s="1537">
        <f t="shared" si="111"/>
        <v>0</v>
      </c>
      <c r="AE162" s="1506">
        <f t="shared" si="112"/>
        <v>0.28298557783507822</v>
      </c>
      <c r="AF162" s="1506">
        <f t="shared" si="113"/>
        <v>0.25526233666298348</v>
      </c>
      <c r="AG162" s="1506">
        <f t="shared" si="114"/>
        <v>7.3802938515424868E-2</v>
      </c>
      <c r="AH162" s="1506">
        <f t="shared" si="126"/>
        <v>0</v>
      </c>
      <c r="AI162" s="1506">
        <f t="shared" si="115"/>
        <v>0.3879491469865135</v>
      </c>
      <c r="AJ162" s="1543">
        <f t="shared" si="116"/>
        <v>1</v>
      </c>
      <c r="AK162" s="1557">
        <f t="shared" si="117"/>
        <v>11030.231151790493</v>
      </c>
      <c r="AL162" s="1558">
        <f t="shared" si="118"/>
        <v>2525.0650483720647</v>
      </c>
      <c r="AM162" s="1558">
        <f t="shared" si="119"/>
        <v>132.64546936052548</v>
      </c>
      <c r="AN162" s="1558">
        <f t="shared" si="120"/>
        <v>13687.941669523081</v>
      </c>
      <c r="AO162" s="1545">
        <f t="shared" si="121"/>
        <v>0</v>
      </c>
      <c r="AV162" s="561"/>
      <c r="AW162" s="561"/>
    </row>
    <row r="163" spans="1:49">
      <c r="A163" s="127">
        <f>'Input data'!A143</f>
        <v>2043</v>
      </c>
      <c r="B163" s="1553">
        <f>'Input data'!B143</f>
        <v>72.713999999999999</v>
      </c>
      <c r="C163" s="1552">
        <f>'Input data'!C143</f>
        <v>5353.7899999999991</v>
      </c>
      <c r="D163" s="1513">
        <f>'Input data'!D143</f>
        <v>17102737.64872111</v>
      </c>
      <c r="E163" s="527">
        <f>'Input data'!J143*C163</f>
        <v>64349.180381382714</v>
      </c>
      <c r="F163" s="1511">
        <f>'Input data'!L143</f>
        <v>81451.918030103829</v>
      </c>
      <c r="G163" s="1511">
        <f t="shared" si="132"/>
        <v>13687.941669523079</v>
      </c>
      <c r="H163" s="1511">
        <f t="shared" si="95"/>
        <v>39286.179005370126</v>
      </c>
      <c r="I163" s="1513">
        <f t="shared" si="98"/>
        <v>17102.737648721111</v>
      </c>
      <c r="J163" s="1456">
        <f t="shared" si="131"/>
        <v>0.4</v>
      </c>
      <c r="K163" s="1514">
        <f t="shared" si="123"/>
        <v>5788.4602334232513</v>
      </c>
      <c r="L163" s="1514">
        <f t="shared" si="99"/>
        <v>0</v>
      </c>
      <c r="M163" s="1513">
        <f t="shared" si="124"/>
        <v>5788.4602334232513</v>
      </c>
      <c r="N163" s="1456">
        <f t="shared" si="130"/>
        <v>0.5</v>
      </c>
      <c r="O163" s="530">
        <f t="shared" si="100"/>
        <v>751.91700000000026</v>
      </c>
      <c r="P163" s="1212">
        <f t="shared" si="127"/>
        <v>6540.3772334232517</v>
      </c>
      <c r="Q163" s="1366">
        <f t="shared" si="101"/>
        <v>46433.743441469953</v>
      </c>
      <c r="R163" s="1366">
        <f t="shared" si="125"/>
        <v>32745.801771946873</v>
      </c>
      <c r="S163" s="1516">
        <f t="shared" si="102"/>
        <v>0.90527785227939028</v>
      </c>
      <c r="T163" s="135" t="str">
        <f t="shared" si="103"/>
        <v>Yes</v>
      </c>
      <c r="U163" s="1516">
        <f t="shared" si="104"/>
        <v>0.90527785227939028</v>
      </c>
      <c r="V163" s="1541">
        <f t="shared" si="96"/>
        <v>48706.116258156966</v>
      </c>
      <c r="W163" s="1542">
        <f t="shared" si="97"/>
        <v>0.40202615928386531</v>
      </c>
      <c r="X163" s="527">
        <f t="shared" si="105"/>
        <v>13687.941669523079</v>
      </c>
      <c r="Y163" s="1511">
        <f t="shared" si="106"/>
        <v>11994.057812566287</v>
      </c>
      <c r="Z163" s="1511">
        <f t="shared" si="107"/>
        <v>3659.8240907631371</v>
      </c>
      <c r="AA163" s="1511">
        <f t="shared" si="108"/>
        <v>0</v>
      </c>
      <c r="AB163" s="1511">
        <f t="shared" si="109"/>
        <v>19364.292685304463</v>
      </c>
      <c r="AC163" s="1511">
        <f t="shared" si="110"/>
        <v>48706.116258156966</v>
      </c>
      <c r="AD163" s="1537">
        <f t="shared" si="111"/>
        <v>0</v>
      </c>
      <c r="AE163" s="1506">
        <f t="shared" si="112"/>
        <v>0.28103126919364502</v>
      </c>
      <c r="AF163" s="1506">
        <f t="shared" si="113"/>
        <v>0.24625362755252744</v>
      </c>
      <c r="AG163" s="1506">
        <f t="shared" si="114"/>
        <v>7.5140955016100561E-2</v>
      </c>
      <c r="AH163" s="1506">
        <f t="shared" si="126"/>
        <v>0</v>
      </c>
      <c r="AI163" s="1506">
        <f t="shared" si="115"/>
        <v>0.39757414823772702</v>
      </c>
      <c r="AJ163" s="1543">
        <f t="shared" si="116"/>
        <v>1</v>
      </c>
      <c r="AK163" s="1557">
        <f t="shared" si="117"/>
        <v>10261.642589232666</v>
      </c>
      <c r="AL163" s="1558">
        <f t="shared" si="118"/>
        <v>3253.1325080500769</v>
      </c>
      <c r="AM163" s="1558">
        <f t="shared" si="119"/>
        <v>173.1665722403344</v>
      </c>
      <c r="AN163" s="1558">
        <f t="shared" si="120"/>
        <v>13687.941669523078</v>
      </c>
      <c r="AO163" s="1545">
        <f t="shared" si="121"/>
        <v>0</v>
      </c>
      <c r="AV163" s="561"/>
      <c r="AW163" s="561"/>
    </row>
    <row r="164" spans="1:49">
      <c r="A164" s="127">
        <f>'Input data'!A144</f>
        <v>2044</v>
      </c>
      <c r="B164" s="1553">
        <f>'Input data'!B144</f>
        <v>73.165000000000006</v>
      </c>
      <c r="C164" s="1552">
        <f>'Input data'!C144</f>
        <v>5526.5000000000018</v>
      </c>
      <c r="D164" s="1513">
        <f>'Input data'!D144</f>
        <v>15821756.711124728</v>
      </c>
      <c r="E164" s="527">
        <f>'Input data'!J144*C164</f>
        <v>66425.045692436906</v>
      </c>
      <c r="F164" s="1511">
        <f>'Input data'!L144</f>
        <v>82246.80240356164</v>
      </c>
      <c r="G164" s="1511">
        <f t="shared" si="132"/>
        <v>13687.941669523079</v>
      </c>
      <c r="H164" s="1511">
        <f t="shared" si="95"/>
        <v>39275.18584276941</v>
      </c>
      <c r="I164" s="1513">
        <f t="shared" si="98"/>
        <v>15821.756711124728</v>
      </c>
      <c r="J164" s="1456">
        <f t="shared" si="131"/>
        <v>0.4</v>
      </c>
      <c r="K164" s="1514">
        <f t="shared" si="123"/>
        <v>5354.9093382772708</v>
      </c>
      <c r="L164" s="1514">
        <f t="shared" si="99"/>
        <v>0</v>
      </c>
      <c r="M164" s="1513">
        <f t="shared" si="124"/>
        <v>5354.9093382772708</v>
      </c>
      <c r="N164" s="1456">
        <f t="shared" si="130"/>
        <v>0.5</v>
      </c>
      <c r="O164" s="530">
        <f t="shared" si="100"/>
        <v>751.91700000000026</v>
      </c>
      <c r="P164" s="1212">
        <f t="shared" si="127"/>
        <v>6106.8263382772711</v>
      </c>
      <c r="Q164" s="1366">
        <f t="shared" si="101"/>
        <v>46856.301174015214</v>
      </c>
      <c r="R164" s="1366">
        <f t="shared" si="125"/>
        <v>33168.359504492139</v>
      </c>
      <c r="S164" s="1516">
        <f t="shared" si="102"/>
        <v>0.88772689840618302</v>
      </c>
      <c r="T164" s="135" t="str">
        <f t="shared" si="103"/>
        <v>Yes</v>
      </c>
      <c r="U164" s="1516">
        <f t="shared" si="104"/>
        <v>0.88772689840618302</v>
      </c>
      <c r="V164" s="1541">
        <f t="shared" si="96"/>
        <v>49078.442899069501</v>
      </c>
      <c r="W164" s="1542">
        <f t="shared" si="97"/>
        <v>0.40327840761206057</v>
      </c>
      <c r="X164" s="527">
        <f t="shared" si="105"/>
        <v>13687.941669523076</v>
      </c>
      <c r="Y164" s="1511">
        <f t="shared" si="106"/>
        <v>11647.896873031197</v>
      </c>
      <c r="Z164" s="1511">
        <f t="shared" si="107"/>
        <v>3753.6313999115555</v>
      </c>
      <c r="AA164" s="1511">
        <f t="shared" si="108"/>
        <v>0</v>
      </c>
      <c r="AB164" s="1511">
        <f t="shared" si="109"/>
        <v>19988.972956603673</v>
      </c>
      <c r="AC164" s="1511">
        <f t="shared" si="110"/>
        <v>49078.442899069501</v>
      </c>
      <c r="AD164" s="1537">
        <f t="shared" si="111"/>
        <v>0</v>
      </c>
      <c r="AE164" s="1506">
        <f t="shared" si="112"/>
        <v>0.27889926535918258</v>
      </c>
      <c r="AF164" s="1506">
        <f t="shared" si="113"/>
        <v>0.23733224171323566</v>
      </c>
      <c r="AG164" s="1506">
        <f t="shared" si="114"/>
        <v>7.6482283833473497E-2</v>
      </c>
      <c r="AH164" s="1506">
        <f t="shared" si="126"/>
        <v>0</v>
      </c>
      <c r="AI164" s="1506">
        <f t="shared" si="115"/>
        <v>0.40728620909410823</v>
      </c>
      <c r="AJ164" s="1543">
        <f t="shared" si="116"/>
        <v>1</v>
      </c>
      <c r="AK164" s="1557">
        <f t="shared" si="117"/>
        <v>9493.0540266748358</v>
      </c>
      <c r="AL164" s="1558">
        <f t="shared" si="118"/>
        <v>3980.2905861144845</v>
      </c>
      <c r="AM164" s="1558">
        <f t="shared" si="119"/>
        <v>214.59705673375294</v>
      </c>
      <c r="AN164" s="1558">
        <f t="shared" si="120"/>
        <v>13687.941669523074</v>
      </c>
      <c r="AO164" s="1545">
        <f t="shared" si="121"/>
        <v>0</v>
      </c>
      <c r="AV164" s="561"/>
      <c r="AW164" s="561"/>
    </row>
    <row r="165" spans="1:49">
      <c r="A165" s="127">
        <f>'Input data'!A145</f>
        <v>2045</v>
      </c>
      <c r="B165" s="1553">
        <f>'Input data'!B145</f>
        <v>73.62</v>
      </c>
      <c r="C165" s="1552">
        <f>'Input data'!C145</f>
        <v>5709.93</v>
      </c>
      <c r="D165" s="1513">
        <f>'Input data'!D145</f>
        <v>14540775.773528345</v>
      </c>
      <c r="E165" s="527">
        <f>'Input data'!J145*C165</f>
        <v>68629.758644823334</v>
      </c>
      <c r="F165" s="1511">
        <f>'Input data'!L145</f>
        <v>83170.534418351686</v>
      </c>
      <c r="G165" s="1511">
        <f t="shared" si="132"/>
        <v>13687.941669523079</v>
      </c>
      <c r="H165" s="1511">
        <f t="shared" si="95"/>
        <v>39338.126374126776</v>
      </c>
      <c r="I165" s="1513">
        <f t="shared" si="98"/>
        <v>14540.775773528345</v>
      </c>
      <c r="J165" s="1456">
        <f t="shared" si="131"/>
        <v>0.4</v>
      </c>
      <c r="K165" s="1514">
        <f t="shared" si="123"/>
        <v>4921.3584431312911</v>
      </c>
      <c r="L165" s="1514">
        <f t="shared" si="99"/>
        <v>0</v>
      </c>
      <c r="M165" s="1513">
        <f t="shared" si="124"/>
        <v>4921.3584431312911</v>
      </c>
      <c r="N165" s="1456">
        <f t="shared" si="130"/>
        <v>0.5</v>
      </c>
      <c r="O165" s="530">
        <f t="shared" si="100"/>
        <v>751.91700000000026</v>
      </c>
      <c r="P165" s="1212">
        <f t="shared" si="127"/>
        <v>5673.2754431312915</v>
      </c>
      <c r="Q165" s="1366">
        <f t="shared" si="101"/>
        <v>47352.792600518558</v>
      </c>
      <c r="R165" s="1366">
        <f t="shared" si="125"/>
        <v>33664.850930995482</v>
      </c>
      <c r="S165" s="1516">
        <f t="shared" si="102"/>
        <v>0.87150683000381035</v>
      </c>
      <c r="T165" s="135" t="str">
        <f t="shared" si="103"/>
        <v>Yes</v>
      </c>
      <c r="U165" s="1516">
        <f t="shared" si="104"/>
        <v>0.87150683000381035</v>
      </c>
      <c r="V165" s="1541">
        <f t="shared" si="96"/>
        <v>49505.683487356204</v>
      </c>
      <c r="W165" s="1542">
        <f t="shared" si="97"/>
        <v>0.40476896254699657</v>
      </c>
      <c r="X165" s="527">
        <f t="shared" si="105"/>
        <v>13687.941669523078</v>
      </c>
      <c r="Y165" s="1511">
        <f t="shared" si="106"/>
        <v>11312.053813112787</v>
      </c>
      <c r="Z165" s="1511">
        <f t="shared" si="107"/>
        <v>3853.2612691553395</v>
      </c>
      <c r="AA165" s="1511">
        <f t="shared" si="108"/>
        <v>0</v>
      </c>
      <c r="AB165" s="1511">
        <f t="shared" si="109"/>
        <v>20652.426735565001</v>
      </c>
      <c r="AC165" s="1511">
        <f t="shared" si="110"/>
        <v>49505.683487356204</v>
      </c>
      <c r="AD165" s="1537">
        <f t="shared" si="111"/>
        <v>0</v>
      </c>
      <c r="AE165" s="1506">
        <f t="shared" si="112"/>
        <v>0.27649232785603273</v>
      </c>
      <c r="AF165" s="1506">
        <f t="shared" si="113"/>
        <v>0.22850010375075208</v>
      </c>
      <c r="AG165" s="1506">
        <f t="shared" si="114"/>
        <v>7.7834725181391867E-2</v>
      </c>
      <c r="AH165" s="1506">
        <f t="shared" si="126"/>
        <v>0</v>
      </c>
      <c r="AI165" s="1506">
        <f t="shared" si="115"/>
        <v>0.41717284321182335</v>
      </c>
      <c r="AJ165" s="1543">
        <f t="shared" si="116"/>
        <v>1</v>
      </c>
      <c r="AK165" s="1557">
        <f t="shared" si="117"/>
        <v>8724.4654641170055</v>
      </c>
      <c r="AL165" s="1558">
        <f t="shared" si="118"/>
        <v>4706.5178738710938</v>
      </c>
      <c r="AM165" s="1558">
        <f t="shared" si="119"/>
        <v>256.95833153497551</v>
      </c>
      <c r="AN165" s="1558">
        <f t="shared" si="120"/>
        <v>13687.941669523074</v>
      </c>
      <c r="AO165" s="1545">
        <f t="shared" si="121"/>
        <v>0</v>
      </c>
      <c r="AV165" s="561"/>
      <c r="AW165" s="561"/>
    </row>
    <row r="166" spans="1:49">
      <c r="A166" s="127">
        <f>'Input data'!A146</f>
        <v>2046</v>
      </c>
      <c r="B166" s="1553">
        <f>'Input data'!B146</f>
        <v>73.995000000000005</v>
      </c>
      <c r="C166" s="1552">
        <f>'Input data'!C146</f>
        <v>5902.43</v>
      </c>
      <c r="D166" s="1513">
        <f>'Input data'!D146</f>
        <v>13259794.835931966</v>
      </c>
      <c r="E166" s="527">
        <f>'Input data'!J146*C166</f>
        <v>70943.487278822082</v>
      </c>
      <c r="F166" s="1511">
        <f>'Input data'!L146</f>
        <v>84203.282114754053</v>
      </c>
      <c r="G166" s="1511">
        <f t="shared" si="132"/>
        <v>13687.941669523079</v>
      </c>
      <c r="H166" s="1511">
        <f t="shared" si="95"/>
        <v>39463.620879756534</v>
      </c>
      <c r="I166" s="1513">
        <f t="shared" si="98"/>
        <v>13259.794835931965</v>
      </c>
      <c r="J166" s="1456">
        <f t="shared" si="131"/>
        <v>0.4</v>
      </c>
      <c r="K166" s="1514">
        <f t="shared" si="123"/>
        <v>4487.8075479853123</v>
      </c>
      <c r="L166" s="1514">
        <f t="shared" si="99"/>
        <v>0</v>
      </c>
      <c r="M166" s="1513">
        <f t="shared" si="124"/>
        <v>4487.8075479853123</v>
      </c>
      <c r="N166" s="1456">
        <f t="shared" si="130"/>
        <v>0.5</v>
      </c>
      <c r="O166" s="530">
        <f t="shared" si="100"/>
        <v>751.91700000000026</v>
      </c>
      <c r="P166" s="1212">
        <f t="shared" si="127"/>
        <v>5239.7245479853127</v>
      </c>
      <c r="Q166" s="1366">
        <f t="shared" si="101"/>
        <v>47911.838001294302</v>
      </c>
      <c r="R166" s="1366">
        <f t="shared" si="125"/>
        <v>34223.896331771219</v>
      </c>
      <c r="S166" s="1516">
        <f t="shared" si="102"/>
        <v>0.85654043576486749</v>
      </c>
      <c r="T166" s="135" t="str">
        <f t="shared" si="103"/>
        <v>Yes</v>
      </c>
      <c r="U166" s="1516">
        <f t="shared" si="104"/>
        <v>0.85654043576486749</v>
      </c>
      <c r="V166" s="1541">
        <f t="shared" si="96"/>
        <v>49979.385782982834</v>
      </c>
      <c r="W166" s="1542">
        <f t="shared" si="97"/>
        <v>0.40644373321612515</v>
      </c>
      <c r="X166" s="527">
        <f t="shared" si="105"/>
        <v>13687.941669523087</v>
      </c>
      <c r="Y166" s="1511">
        <f t="shared" si="106"/>
        <v>10984.940526340208</v>
      </c>
      <c r="Z166" s="1511">
        <f t="shared" si="107"/>
        <v>3957.8175022111564</v>
      </c>
      <c r="AA166" s="1511">
        <f t="shared" si="108"/>
        <v>0</v>
      </c>
      <c r="AB166" s="1511">
        <f t="shared" si="109"/>
        <v>21348.686084908382</v>
      </c>
      <c r="AC166" s="1511">
        <f t="shared" si="110"/>
        <v>49979.385782982834</v>
      </c>
      <c r="AD166" s="1537">
        <f t="shared" si="111"/>
        <v>0</v>
      </c>
      <c r="AE166" s="1506">
        <f t="shared" si="112"/>
        <v>0.27387174642277434</v>
      </c>
      <c r="AF166" s="1506">
        <f t="shared" si="113"/>
        <v>0.21978942626542644</v>
      </c>
      <c r="AG166" s="1506">
        <f t="shared" si="114"/>
        <v>7.9188998428202553E-2</v>
      </c>
      <c r="AH166" s="1506">
        <f t="shared" si="126"/>
        <v>0</v>
      </c>
      <c r="AI166" s="1506">
        <f t="shared" si="115"/>
        <v>0.4271498288835967</v>
      </c>
      <c r="AJ166" s="1543">
        <f t="shared" si="116"/>
        <v>1</v>
      </c>
      <c r="AK166" s="1557">
        <f t="shared" si="117"/>
        <v>7955.8769015591788</v>
      </c>
      <c r="AL166" s="1558">
        <f t="shared" si="118"/>
        <v>5431.8683711103895</v>
      </c>
      <c r="AM166" s="1558">
        <f t="shared" si="119"/>
        <v>300.1963968535166</v>
      </c>
      <c r="AN166" s="1558">
        <f t="shared" si="120"/>
        <v>13687.941669523085</v>
      </c>
      <c r="AO166" s="1545">
        <f t="shared" si="121"/>
        <v>0</v>
      </c>
      <c r="AV166" s="561"/>
      <c r="AW166" s="561"/>
    </row>
    <row r="167" spans="1:49">
      <c r="A167" s="127">
        <f>'Input data'!A147</f>
        <v>2047</v>
      </c>
      <c r="B167" s="1553">
        <f>'Input data'!B147</f>
        <v>74.373000000000005</v>
      </c>
      <c r="C167" s="1552">
        <f>'Input data'!C147</f>
        <v>6104.119999999999</v>
      </c>
      <c r="D167" s="1513">
        <f>'Input data'!D147</f>
        <v>11978813.898335585</v>
      </c>
      <c r="E167" s="527">
        <f>'Input data'!J147*C167</f>
        <v>73367.673918776389</v>
      </c>
      <c r="F167" s="1511">
        <f>'Input data'!L147</f>
        <v>85346.487817111978</v>
      </c>
      <c r="G167" s="1511">
        <f t="shared" si="132"/>
        <v>13687.941669523079</v>
      </c>
      <c r="H167" s="1511">
        <f t="shared" si="95"/>
        <v>39652.496975635833</v>
      </c>
      <c r="I167" s="1513">
        <f t="shared" si="98"/>
        <v>11978.813898335586</v>
      </c>
      <c r="J167" s="1456">
        <f t="shared" si="131"/>
        <v>0.4</v>
      </c>
      <c r="K167" s="1514">
        <f t="shared" si="123"/>
        <v>4054.2566528393327</v>
      </c>
      <c r="L167" s="1514">
        <f t="shared" si="99"/>
        <v>0</v>
      </c>
      <c r="M167" s="1513">
        <f t="shared" si="124"/>
        <v>4054.2566528393327</v>
      </c>
      <c r="N167" s="1456">
        <f t="shared" si="130"/>
        <v>0.5</v>
      </c>
      <c r="O167" s="530">
        <f t="shared" si="100"/>
        <v>751.91700000000026</v>
      </c>
      <c r="P167" s="1212">
        <f t="shared" si="127"/>
        <v>4806.173652839333</v>
      </c>
      <c r="Q167" s="1366">
        <f t="shared" si="101"/>
        <v>48534.264992319586</v>
      </c>
      <c r="R167" s="1366">
        <f t="shared" si="125"/>
        <v>34846.32332279651</v>
      </c>
      <c r="S167" s="1516">
        <f t="shared" si="102"/>
        <v>0.84277802498045462</v>
      </c>
      <c r="T167" s="135" t="str">
        <f t="shared" si="103"/>
        <v>Yes</v>
      </c>
      <c r="U167" s="1516">
        <f t="shared" si="104"/>
        <v>0.84277802498045462</v>
      </c>
      <c r="V167" s="1541">
        <f t="shared" si="96"/>
        <v>50500.164494315475</v>
      </c>
      <c r="W167" s="1542">
        <f t="shared" si="97"/>
        <v>0.40829241148702333</v>
      </c>
      <c r="X167" s="527">
        <f t="shared" si="105"/>
        <v>13687.941669523076</v>
      </c>
      <c r="Y167" s="1511">
        <f t="shared" si="106"/>
        <v>10666.672511365883</v>
      </c>
      <c r="Z167" s="1511">
        <f t="shared" si="107"/>
        <v>4067.3652769905207</v>
      </c>
      <c r="AA167" s="1511">
        <f t="shared" si="108"/>
        <v>0</v>
      </c>
      <c r="AB167" s="1511">
        <f t="shared" si="109"/>
        <v>22078.185036435996</v>
      </c>
      <c r="AC167" s="1511">
        <f t="shared" si="110"/>
        <v>50500.164494315475</v>
      </c>
      <c r="AD167" s="1537">
        <f t="shared" si="111"/>
        <v>0</v>
      </c>
      <c r="AE167" s="1506">
        <f t="shared" si="112"/>
        <v>0.27104746700505999</v>
      </c>
      <c r="AF167" s="1506">
        <f t="shared" si="113"/>
        <v>0.21122054983734898</v>
      </c>
      <c r="AG167" s="1506">
        <f t="shared" si="114"/>
        <v>8.0541624323785352E-2</v>
      </c>
      <c r="AH167" s="1506">
        <f t="shared" si="126"/>
        <v>0</v>
      </c>
      <c r="AI167" s="1506">
        <f t="shared" si="115"/>
        <v>0.43719035883380569</v>
      </c>
      <c r="AJ167" s="1543">
        <f t="shared" si="116"/>
        <v>1</v>
      </c>
      <c r="AK167" s="1557">
        <f t="shared" si="117"/>
        <v>7187.2883390013503</v>
      </c>
      <c r="AL167" s="1558">
        <f t="shared" si="118"/>
        <v>6156.3768303570751</v>
      </c>
      <c r="AM167" s="1558">
        <f t="shared" si="119"/>
        <v>344.27650016464906</v>
      </c>
      <c r="AN167" s="1558">
        <f t="shared" si="120"/>
        <v>13687.941669523074</v>
      </c>
      <c r="AO167" s="1545">
        <f t="shared" si="121"/>
        <v>0</v>
      </c>
      <c r="AV167" s="561"/>
      <c r="AW167" s="561"/>
    </row>
    <row r="168" spans="1:49">
      <c r="A168" s="127">
        <f>'Input data'!A148</f>
        <v>2048</v>
      </c>
      <c r="B168" s="1553">
        <f>'Input data'!B148</f>
        <v>74.753</v>
      </c>
      <c r="C168" s="1552">
        <f>'Input data'!C148</f>
        <v>6308.13</v>
      </c>
      <c r="D168" s="1513">
        <f>'Input data'!D148</f>
        <v>10697832.960739207</v>
      </c>
      <c r="E168" s="527">
        <f>'Input data'!J148*C168</f>
        <v>75819.745496033996</v>
      </c>
      <c r="F168" s="1511">
        <f>'Input data'!L148</f>
        <v>86517.578456773204</v>
      </c>
      <c r="G168" s="1511">
        <f t="shared" si="132"/>
        <v>13687.941669523079</v>
      </c>
      <c r="H168" s="1511">
        <f t="shared" si="95"/>
        <v>39857.373647073255</v>
      </c>
      <c r="I168" s="1513">
        <f t="shared" si="98"/>
        <v>10697.832960739206</v>
      </c>
      <c r="J168" s="1456">
        <f t="shared" si="131"/>
        <v>0.4</v>
      </c>
      <c r="K168" s="1514">
        <f t="shared" si="123"/>
        <v>3620.7057576933535</v>
      </c>
      <c r="L168" s="1514">
        <f t="shared" si="99"/>
        <v>0</v>
      </c>
      <c r="M168" s="1513">
        <f t="shared" si="124"/>
        <v>3620.7057576933535</v>
      </c>
      <c r="N168" s="1456">
        <f t="shared" si="130"/>
        <v>0.5</v>
      </c>
      <c r="O168" s="530">
        <f t="shared" si="100"/>
        <v>751.91700000000026</v>
      </c>
      <c r="P168" s="1212">
        <f t="shared" si="127"/>
        <v>4372.6227576933534</v>
      </c>
      <c r="Q168" s="1366">
        <f t="shared" si="101"/>
        <v>49172.692558902978</v>
      </c>
      <c r="R168" s="1366">
        <f t="shared" si="125"/>
        <v>35484.750889379895</v>
      </c>
      <c r="S168" s="1516">
        <f t="shared" si="102"/>
        <v>0.82997513401691247</v>
      </c>
      <c r="T168" s="135" t="str">
        <f t="shared" si="103"/>
        <v>Yes</v>
      </c>
      <c r="U168" s="1516">
        <f t="shared" si="104"/>
        <v>0.82997513401691247</v>
      </c>
      <c r="V168" s="1541">
        <f t="shared" si="96"/>
        <v>51032.827567393309</v>
      </c>
      <c r="W168" s="1542">
        <f t="shared" si="97"/>
        <v>0.41014498466469618</v>
      </c>
      <c r="X168" s="527">
        <f t="shared" si="105"/>
        <v>13687.941669523083</v>
      </c>
      <c r="Y168" s="1511">
        <f t="shared" si="106"/>
        <v>10350.637470338455</v>
      </c>
      <c r="Z168" s="1511">
        <f t="shared" si="107"/>
        <v>4178.1731580591822</v>
      </c>
      <c r="AA168" s="1511">
        <f t="shared" si="108"/>
        <v>0</v>
      </c>
      <c r="AB168" s="1511">
        <f t="shared" si="109"/>
        <v>22816.075269472592</v>
      </c>
      <c r="AC168" s="1511">
        <f t="shared" si="110"/>
        <v>51032.827567393309</v>
      </c>
      <c r="AD168" s="1537">
        <f t="shared" si="111"/>
        <v>0</v>
      </c>
      <c r="AE168" s="1506">
        <f t="shared" si="112"/>
        <v>0.2682183669217027</v>
      </c>
      <c r="AF168" s="1506">
        <f t="shared" si="113"/>
        <v>0.20282312314890907</v>
      </c>
      <c r="AG168" s="1506">
        <f t="shared" si="114"/>
        <v>8.1872264525055749E-2</v>
      </c>
      <c r="AH168" s="1506">
        <f t="shared" si="126"/>
        <v>0</v>
      </c>
      <c r="AI168" s="1506">
        <f t="shared" si="115"/>
        <v>0.44708624540433256</v>
      </c>
      <c r="AJ168" s="1543">
        <f t="shared" si="116"/>
        <v>1</v>
      </c>
      <c r="AK168" s="1557">
        <f t="shared" si="117"/>
        <v>6418.6997764435237</v>
      </c>
      <c r="AL168" s="1558">
        <f t="shared" si="118"/>
        <v>6880.2142237840762</v>
      </c>
      <c r="AM168" s="1558">
        <f t="shared" si="119"/>
        <v>389.02766929548244</v>
      </c>
      <c r="AN168" s="1558">
        <f t="shared" si="120"/>
        <v>13687.941669523083</v>
      </c>
      <c r="AO168" s="1545">
        <f t="shared" si="121"/>
        <v>0</v>
      </c>
      <c r="AV168" s="561"/>
      <c r="AW168" s="561"/>
    </row>
    <row r="169" spans="1:49">
      <c r="A169" s="127">
        <f>'Input data'!A149</f>
        <v>2049</v>
      </c>
      <c r="B169" s="662">
        <f>'Input data'!B149</f>
        <v>75.134</v>
      </c>
      <c r="C169" s="236">
        <f>'Input data'!C149</f>
        <v>6522.2000000000007</v>
      </c>
      <c r="D169" s="1513">
        <f>'Input data'!D149</f>
        <v>9416852.0231428221</v>
      </c>
      <c r="E169" s="527">
        <f>'Input data'!J149*C169</f>
        <v>78392.731930735885</v>
      </c>
      <c r="F169" s="528">
        <f>'Input data'!L149</f>
        <v>87809.583953878711</v>
      </c>
      <c r="G169" s="528">
        <f t="shared" si="132"/>
        <v>13687.941669523079</v>
      </c>
      <c r="H169" s="528">
        <f t="shared" si="95"/>
        <v>40131.632124594486</v>
      </c>
      <c r="I169" s="530">
        <f t="shared" si="98"/>
        <v>9416.8520231428229</v>
      </c>
      <c r="J169" s="649">
        <f t="shared" si="131"/>
        <v>0.4</v>
      </c>
      <c r="K169" s="775">
        <f t="shared" si="123"/>
        <v>3187.1548625473733</v>
      </c>
      <c r="L169" s="775">
        <f t="shared" si="99"/>
        <v>0</v>
      </c>
      <c r="M169" s="530">
        <f t="shared" si="124"/>
        <v>3187.1548625473733</v>
      </c>
      <c r="N169" s="649">
        <f t="shared" si="130"/>
        <v>0.5</v>
      </c>
      <c r="O169" s="530">
        <f t="shared" si="100"/>
        <v>751.91700000000026</v>
      </c>
      <c r="P169" s="1212">
        <f t="shared" si="127"/>
        <v>3939.0718625473737</v>
      </c>
      <c r="Q169" s="1366">
        <f t="shared" si="101"/>
        <v>49880.501931570187</v>
      </c>
      <c r="R169" s="1366">
        <f t="shared" si="125"/>
        <v>36192.560262047104</v>
      </c>
      <c r="S169" s="1516">
        <f t="shared" si="102"/>
        <v>0.81827358236689396</v>
      </c>
      <c r="T169" s="135" t="str">
        <f t="shared" si="103"/>
        <v>Yes</v>
      </c>
      <c r="U169" s="1516">
        <f t="shared" si="104"/>
        <v>0.81827358236689396</v>
      </c>
      <c r="V169" s="1541">
        <f t="shared" si="96"/>
        <v>51617.023691831622</v>
      </c>
      <c r="W169" s="1542">
        <f t="shared" si="97"/>
        <v>0.41217095711394036</v>
      </c>
      <c r="X169" s="527">
        <f t="shared" si="105"/>
        <v>13687.941669523083</v>
      </c>
      <c r="Y169" s="1511">
        <f t="shared" si="106"/>
        <v>10044.285066339367</v>
      </c>
      <c r="Z169" s="1511">
        <f t="shared" si="107"/>
        <v>4294.4451207098782</v>
      </c>
      <c r="AA169" s="1511">
        <f t="shared" si="108"/>
        <v>0</v>
      </c>
      <c r="AB169" s="1511">
        <f t="shared" si="109"/>
        <v>23590.351835259287</v>
      </c>
      <c r="AC169" s="1511">
        <f t="shared" si="110"/>
        <v>51617.023691831622</v>
      </c>
      <c r="AD169" s="1537">
        <f t="shared" si="111"/>
        <v>0</v>
      </c>
      <c r="AE169" s="1506">
        <f t="shared" si="112"/>
        <v>0.26518269924364501</v>
      </c>
      <c r="AF169" s="1506">
        <f t="shared" si="113"/>
        <v>0.19459248805794419</v>
      </c>
      <c r="AG169" s="1506">
        <f t="shared" si="114"/>
        <v>8.3198232163654809E-2</v>
      </c>
      <c r="AH169" s="1506">
        <f t="shared" si="126"/>
        <v>0</v>
      </c>
      <c r="AI169" s="1506">
        <f t="shared" si="115"/>
        <v>0.45702658053475587</v>
      </c>
      <c r="AJ169" s="1543">
        <f t="shared" si="116"/>
        <v>0.99999999999999989</v>
      </c>
      <c r="AK169" s="1557">
        <f t="shared" si="117"/>
        <v>5650.1112138856934</v>
      </c>
      <c r="AL169" s="1558">
        <f t="shared" si="118"/>
        <v>7603.2813661405662</v>
      </c>
      <c r="AM169" s="1558">
        <f t="shared" si="119"/>
        <v>434.54908949682107</v>
      </c>
      <c r="AN169" s="1558">
        <f t="shared" si="120"/>
        <v>13687.941669523079</v>
      </c>
      <c r="AO169" s="1545">
        <f t="shared" si="121"/>
        <v>0</v>
      </c>
      <c r="AV169" s="561"/>
      <c r="AW169" s="561"/>
    </row>
    <row r="170" spans="1:49" ht="15" thickBot="1">
      <c r="A170" s="172">
        <f>'Input data'!A150</f>
        <v>2050</v>
      </c>
      <c r="B170" s="664">
        <f>'Input data'!B150</f>
        <v>75.518000000000001</v>
      </c>
      <c r="C170" s="239">
        <f>'Input data'!C150</f>
        <v>6747.1300000000019</v>
      </c>
      <c r="D170" s="1522">
        <f>'Input data'!D150</f>
        <v>8135871.0855464395</v>
      </c>
      <c r="E170" s="670">
        <f>'Input data'!J150*C170</f>
        <v>81096.248718503892</v>
      </c>
      <c r="F170" s="667">
        <f>'Input data'!L150</f>
        <v>89232.119804050337</v>
      </c>
      <c r="G170" s="667">
        <f t="shared" si="132"/>
        <v>13687.941669523079</v>
      </c>
      <c r="H170" s="667">
        <f t="shared" si="95"/>
        <v>40480.789848047149</v>
      </c>
      <c r="I170" s="659">
        <f t="shared" si="98"/>
        <v>8135.8710855464396</v>
      </c>
      <c r="J170" s="650">
        <f t="shared" si="131"/>
        <v>0.4</v>
      </c>
      <c r="K170" s="667">
        <f t="shared" si="123"/>
        <v>2753.6039674013932</v>
      </c>
      <c r="L170" s="667">
        <f t="shared" si="99"/>
        <v>0</v>
      </c>
      <c r="M170" s="659">
        <f t="shared" si="124"/>
        <v>2753.6039674013932</v>
      </c>
      <c r="N170" s="650">
        <f t="shared" si="130"/>
        <v>0.5</v>
      </c>
      <c r="O170" s="659">
        <f t="shared" si="100"/>
        <v>751.91700000000026</v>
      </c>
      <c r="P170" s="1701">
        <f t="shared" si="127"/>
        <v>3505.5209674013936</v>
      </c>
      <c r="Q170" s="1487">
        <f t="shared" si="101"/>
        <v>50663.210550168835</v>
      </c>
      <c r="R170" s="1487">
        <f t="shared" si="125"/>
        <v>36975.268880645759</v>
      </c>
      <c r="S170" s="1525">
        <f t="shared" si="102"/>
        <v>0.80764319922730154</v>
      </c>
      <c r="T170" s="1105" t="str">
        <f t="shared" si="103"/>
        <v>Yes</v>
      </c>
      <c r="U170" s="1525">
        <f t="shared" si="104"/>
        <v>0.80764319922730154</v>
      </c>
      <c r="V170" s="1546">
        <f t="shared" si="96"/>
        <v>52256.850923404578</v>
      </c>
      <c r="W170" s="1547">
        <f t="shared" si="97"/>
        <v>0.41437174149669154</v>
      </c>
      <c r="X170" s="670">
        <f t="shared" si="105"/>
        <v>13687.941669523076</v>
      </c>
      <c r="Y170" s="1520">
        <f t="shared" si="106"/>
        <v>9748.385290384791</v>
      </c>
      <c r="Z170" s="1520">
        <f t="shared" si="107"/>
        <v>4416.6156843527096</v>
      </c>
      <c r="AA170" s="1520">
        <f t="shared" si="108"/>
        <v>0</v>
      </c>
      <c r="AB170" s="1520">
        <f t="shared" si="109"/>
        <v>24403.908279144001</v>
      </c>
      <c r="AC170" s="1520">
        <f t="shared" si="110"/>
        <v>52256.850923404578</v>
      </c>
      <c r="AD170" s="1548">
        <f t="shared" si="111"/>
        <v>0</v>
      </c>
      <c r="AE170" s="1523">
        <f t="shared" si="112"/>
        <v>0.26193583095135531</v>
      </c>
      <c r="AF170" s="1523">
        <f t="shared" si="113"/>
        <v>0.18654750751577961</v>
      </c>
      <c r="AG170" s="1523">
        <f t="shared" si="114"/>
        <v>8.4517448072528506E-2</v>
      </c>
      <c r="AH170" s="1523">
        <f t="shared" si="126"/>
        <v>0</v>
      </c>
      <c r="AI170" s="1523">
        <f>AB170/AC170</f>
        <v>0.46699921346033657</v>
      </c>
      <c r="AJ170" s="1549">
        <f t="shared" si="116"/>
        <v>1</v>
      </c>
      <c r="AK170" s="1641">
        <f t="shared" si="117"/>
        <v>4881.5226513278631</v>
      </c>
      <c r="AL170" s="1642">
        <f t="shared" si="118"/>
        <v>8325.5993581836865</v>
      </c>
      <c r="AM170" s="1642">
        <f t="shared" si="119"/>
        <v>480.81966001152483</v>
      </c>
      <c r="AN170" s="1642">
        <f t="shared" si="120"/>
        <v>13687.941669523074</v>
      </c>
      <c r="AO170" s="1550">
        <f t="shared" si="121"/>
        <v>0</v>
      </c>
      <c r="AV170" s="561"/>
      <c r="AW170" s="561"/>
    </row>
    <row r="171" spans="1:49">
      <c r="F171" s="721"/>
      <c r="G171" s="721"/>
      <c r="S171" s="104"/>
      <c r="T171" s="1087"/>
    </row>
    <row r="172" spans="1:49" ht="23.4">
      <c r="A172" s="686" t="s">
        <v>664</v>
      </c>
    </row>
    <row r="173" spans="1:49" ht="24" thickBot="1">
      <c r="A173" s="686"/>
    </row>
    <row r="174" spans="1:49"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9" ht="37.950000000000003"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56.521999999999998</v>
      </c>
      <c r="C177" s="738">
        <f>'Input data'!C117</f>
        <v>3120.54</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v>
      </c>
      <c r="C178" s="236">
        <f>'Input data'!C118</f>
        <v>3152.24</v>
      </c>
      <c r="D178" s="1513">
        <f>'Input data'!E118</f>
        <v>50172070.130067617</v>
      </c>
      <c r="E178" s="527">
        <f>'Input data'!J118*C178</f>
        <v>37887.937398629729</v>
      </c>
      <c r="F178" s="528">
        <f>'Input data'!L118</f>
        <v>88060.007528697344</v>
      </c>
      <c r="G178" s="938">
        <f>G177*0.94</f>
        <v>64333.325846758482</v>
      </c>
      <c r="H178" s="1511">
        <f>E178*$B$12+I178*$E$80-G178</f>
        <v>4491.135057742722</v>
      </c>
      <c r="I178" s="1513">
        <f t="shared" ref="I178:I210" si="136">D178/1000</f>
        <v>50172.070130067616</v>
      </c>
      <c r="J178" s="649">
        <f>($J$190-$J$177)/($A$190-$A$177)+J177</f>
        <v>8.7582527933999524E-2</v>
      </c>
      <c r="K178" s="1514">
        <f>(I178)*J178-(I178)*$J$137</f>
        <v>1306.2192765294853</v>
      </c>
      <c r="L178" s="1514">
        <f t="shared" ref="L178:L210" si="137">(E178)*$C$12*$G$12-(E178)*$C$12*$G$12</f>
        <v>0</v>
      </c>
      <c r="M178" s="1513">
        <f>L178+K178</f>
        <v>1306.2192765294853</v>
      </c>
      <c r="N178" s="649">
        <v>0.05</v>
      </c>
      <c r="O178" s="530">
        <f t="shared" ref="O178:O210" si="138">N178*$E$177*($C$85)*$B$12</f>
        <v>75.191700000000026</v>
      </c>
      <c r="P178" s="1212">
        <f>O178+M178</f>
        <v>1381.4109765294854</v>
      </c>
      <c r="Q178" s="1366">
        <f t="shared" ref="Q178:Q210" si="139">E178*$B$12+(1-$J$137)*I178-P178</f>
        <v>67443.049927971719</v>
      </c>
      <c r="R178" s="1366">
        <f>Q178-G178</f>
        <v>3109.7240812132368</v>
      </c>
      <c r="S178" s="576">
        <f t="shared" ref="S178:S210" si="140">R178/(Q178-I178*(1-J178))</f>
        <v>0.14353559855285578</v>
      </c>
      <c r="T178" s="135" t="str">
        <f t="shared" ref="T178:T210" si="141">IF(AND(S178&gt;=0,S178&lt;=1),"Yes","No")</f>
        <v>Yes</v>
      </c>
      <c r="U178" s="1528">
        <f t="shared" ref="U178:U210" si="142">IF(S178&lt;=0,0,IF(S178&gt;=1,1,S178))</f>
        <v>0.14353559855285578</v>
      </c>
      <c r="V178" s="1496">
        <f t="shared" si="134"/>
        <v>84950.283447484122</v>
      </c>
      <c r="W178" s="1529">
        <f t="shared" si="135"/>
        <v>3.5313693110914368E-2</v>
      </c>
      <c r="X178" s="527">
        <f t="shared" ref="X178:X210" si="143">(E178*$B$12-O178-L178)*(1-U178)+I178*(1-J178)</f>
        <v>64333.325846758482</v>
      </c>
      <c r="Y178" s="1511">
        <f t="shared" ref="Y178:Y210" si="144">I178*J178+E178*$G$12*$C$12</f>
        <v>7428.192334688978</v>
      </c>
      <c r="Z178" s="1533">
        <f t="shared" ref="Z178:Z210" si="145">($C$12*$H$12*E178+O178)</f>
        <v>1787.3285316252955</v>
      </c>
      <c r="AA178" s="1533">
        <f t="shared" ref="AA178:AA210" si="146">$F$137*$D$11</f>
        <v>0</v>
      </c>
      <c r="AB178" s="1533">
        <f t="shared" ref="AB178:AB210" si="147">E178*$E$12</f>
        <v>11401.436734411351</v>
      </c>
      <c r="AC178" s="1533">
        <f t="shared" ref="AC178:AC210" si="148">SUM(X178:AB178)</f>
        <v>84950.283447484122</v>
      </c>
      <c r="AD178" s="1489">
        <f t="shared" ref="AD178:AD210" si="149">X178-G178</f>
        <v>0</v>
      </c>
      <c r="AE178" s="649">
        <f t="shared" ref="AE178:AE210" si="150">X178/AC178</f>
        <v>0.75730560553725579</v>
      </c>
      <c r="AF178" s="417">
        <f t="shared" ref="AF178:AF210" si="151">Y178/AC178</f>
        <v>8.74416427260193E-2</v>
      </c>
      <c r="AG178" s="417">
        <f t="shared" ref="AG178:AG210" si="152">Z178/AC178</f>
        <v>2.1039700623603143E-2</v>
      </c>
      <c r="AH178" s="417">
        <f>AA178/AC178</f>
        <v>0</v>
      </c>
      <c r="AI178" s="417">
        <f t="shared" ref="AI178:AI209" si="153">AB178/AC178</f>
        <v>0.13421305111312157</v>
      </c>
      <c r="AJ178" s="417">
        <f t="shared" ref="AJ178:AJ210" si="154">SUM(AE178:AI178)</f>
        <v>0.99999999999999978</v>
      </c>
      <c r="AK178" s="1499">
        <f t="shared" ref="AK178:AK210" si="155">I178*(1-$J$177)-K178</f>
        <v>45777.873396394389</v>
      </c>
      <c r="AL178" s="1500">
        <f t="shared" ref="AL178:AL210" si="156">(E178*$C$86*$B$12-L178)*(1-U178)</f>
        <v>17318.787232577462</v>
      </c>
      <c r="AM178" s="1500">
        <f t="shared" ref="AM178:AM210" si="157">(E178*($C$85)*$B$12-O178)*(1-U178)</f>
        <v>1236.6652177866376</v>
      </c>
      <c r="AN178" s="1500">
        <f t="shared" ref="AN178:AN210" si="158">SUM(AK178:AM178)</f>
        <v>64333.325846758482</v>
      </c>
      <c r="AO178" s="1186">
        <f t="shared" ref="AO178:AO210" si="159">AN178-X178</f>
        <v>0</v>
      </c>
    </row>
    <row r="179" spans="1:41">
      <c r="A179" s="873">
        <f>'Input data'!A119</f>
        <v>2019</v>
      </c>
      <c r="B179" s="1553">
        <f>'Input data'!B119</f>
        <v>58.365000000000002</v>
      </c>
      <c r="C179" s="1552">
        <f>'Input data'!C119</f>
        <v>3179.2899999999995</v>
      </c>
      <c r="D179" s="1513">
        <f>'Input data'!E119</f>
        <v>49847473.41597119</v>
      </c>
      <c r="E179" s="1510">
        <f>'Input data'!J119*C179</f>
        <v>38213.061344342277</v>
      </c>
      <c r="F179" s="1511">
        <f>'Input data'!L119</f>
        <v>88060.534760313458</v>
      </c>
      <c r="G179" s="1559">
        <f>G177*0.89</f>
        <v>60911.340429377713</v>
      </c>
      <c r="H179" s="1511">
        <f t="shared" ref="H179:H210" si="160">E179*$B$12+I179*$E$80-G179</f>
        <v>7795.0603895827808</v>
      </c>
      <c r="I179" s="1513">
        <f t="shared" si="136"/>
        <v>49847.473415971188</v>
      </c>
      <c r="J179" s="1456">
        <f t="shared" ref="J179:J189" si="161">($J$190-$J$177)/($A$190-$A$177)+J178</f>
        <v>0.11361731727283289</v>
      </c>
      <c r="K179" s="1514">
        <f t="shared" ref="K179:K210" si="162">(I179)*J179-(I179)*$J$137</f>
        <v>2595.5369389158132</v>
      </c>
      <c r="L179" s="1514">
        <f t="shared" si="137"/>
        <v>0</v>
      </c>
      <c r="M179" s="1513">
        <f t="shared" ref="M179:M210" si="163">L179+K179</f>
        <v>2595.5369389158132</v>
      </c>
      <c r="N179" s="1456">
        <v>0.1</v>
      </c>
      <c r="O179" s="530">
        <f t="shared" si="138"/>
        <v>150.38340000000005</v>
      </c>
      <c r="P179" s="1212">
        <f>O179+M179</f>
        <v>2745.9203389158133</v>
      </c>
      <c r="Q179" s="1366">
        <f t="shared" si="139"/>
        <v>65960.480480044687</v>
      </c>
      <c r="R179" s="1366">
        <f t="shared" ref="R179:R210" si="164">Q179-G179</f>
        <v>5049.1400506669743</v>
      </c>
      <c r="S179" s="576">
        <f t="shared" si="140"/>
        <v>0.23186141110153705</v>
      </c>
      <c r="T179" s="135" t="str">
        <f t="shared" si="141"/>
        <v>Yes</v>
      </c>
      <c r="U179" s="1528">
        <f t="shared" si="142"/>
        <v>0.23186141110153705</v>
      </c>
      <c r="V179" s="1496">
        <f t="shared" si="134"/>
        <v>83011.394709646513</v>
      </c>
      <c r="W179" s="1529">
        <f t="shared" si="135"/>
        <v>5.7337149546160315E-2</v>
      </c>
      <c r="X179" s="527">
        <f t="shared" si="143"/>
        <v>60911.340429377713</v>
      </c>
      <c r="Y179" s="1511">
        <f t="shared" si="144"/>
        <v>8723.5671246015063</v>
      </c>
      <c r="Z179" s="1533">
        <f t="shared" si="145"/>
        <v>1877.2124191793723</v>
      </c>
      <c r="AA179" s="1533">
        <f t="shared" si="146"/>
        <v>0</v>
      </c>
      <c r="AB179" s="1533">
        <f t="shared" si="147"/>
        <v>11499.274736487914</v>
      </c>
      <c r="AC179" s="1533">
        <f t="shared" si="148"/>
        <v>83011.394709646513</v>
      </c>
      <c r="AD179" s="1489">
        <f t="shared" si="149"/>
        <v>0</v>
      </c>
      <c r="AE179" s="649">
        <f t="shared" si="150"/>
        <v>0.73377083522606301</v>
      </c>
      <c r="AF179" s="417">
        <f t="shared" si="151"/>
        <v>0.10508879118480545</v>
      </c>
      <c r="AG179" s="417">
        <f t="shared" si="152"/>
        <v>2.2613912532675792E-2</v>
      </c>
      <c r="AH179" s="417">
        <f t="shared" ref="AH179:AH210" si="165">AA179/AC179</f>
        <v>0</v>
      </c>
      <c r="AI179" s="417">
        <f t="shared" si="153"/>
        <v>0.13852646105645564</v>
      </c>
      <c r="AJ179" s="417">
        <f t="shared" si="154"/>
        <v>0.99999999999999978</v>
      </c>
      <c r="AK179" s="1499">
        <f t="shared" si="155"/>
        <v>44183.937213619683</v>
      </c>
      <c r="AL179" s="1500">
        <f t="shared" si="156"/>
        <v>15666.017668085971</v>
      </c>
      <c r="AM179" s="1500">
        <f t="shared" si="157"/>
        <v>1061.3855476720448</v>
      </c>
      <c r="AN179" s="1500">
        <f t="shared" si="158"/>
        <v>60911.340429377698</v>
      </c>
      <c r="AO179" s="1186">
        <f t="shared" si="159"/>
        <v>0</v>
      </c>
    </row>
    <row r="180" spans="1:41">
      <c r="A180" s="873">
        <f>'Input data'!A120</f>
        <v>2020</v>
      </c>
      <c r="B180" s="1553">
        <f>'Input data'!B120</f>
        <v>59.308999999999997</v>
      </c>
      <c r="C180" s="1552">
        <f>'Input data'!C120</f>
        <v>2948.9199999999987</v>
      </c>
      <c r="D180" s="1513">
        <f>'Input data'!E120</f>
        <v>47586944.933914557</v>
      </c>
      <c r="E180" s="1510">
        <f>'Input data'!J120*C180</f>
        <v>35444.159186345947</v>
      </c>
      <c r="F180" s="1511">
        <f>'Input data'!L120</f>
        <v>83031.104120260512</v>
      </c>
      <c r="G180" s="1559">
        <f>G177*0.81</f>
        <v>55436.163761568481</v>
      </c>
      <c r="H180" s="1511">
        <f t="shared" si="160"/>
        <v>9560.0232193156335</v>
      </c>
      <c r="I180" s="1513">
        <f t="shared" si="136"/>
        <v>47586.944933914558</v>
      </c>
      <c r="J180" s="1456">
        <f t="shared" si="161"/>
        <v>0.13965210661166627</v>
      </c>
      <c r="K180" s="1514">
        <f>(I180)*J180-(I180)*$J$177</f>
        <v>3716.7482598993884</v>
      </c>
      <c r="L180" s="1514">
        <f t="shared" si="137"/>
        <v>0</v>
      </c>
      <c r="M180" s="1513">
        <f t="shared" si="163"/>
        <v>3716.7482598993884</v>
      </c>
      <c r="N180" s="1456">
        <f>($N$142-$N$137)/($A$102-$A$97)+N179</f>
        <v>0.2</v>
      </c>
      <c r="O180" s="530">
        <f t="shared" si="138"/>
        <v>300.7668000000001</v>
      </c>
      <c r="P180" s="1212">
        <f t="shared" ref="P180:P210" si="166">O180+M180</f>
        <v>4017.5150598993887</v>
      </c>
      <c r="Q180" s="1366">
        <f t="shared" si="139"/>
        <v>60978.671920984729</v>
      </c>
      <c r="R180" s="1366">
        <f t="shared" si="164"/>
        <v>5542.5081594162475</v>
      </c>
      <c r="S180" s="576">
        <f>R180/(Q180-I180*(1-J180))</f>
        <v>0.27660892248646951</v>
      </c>
      <c r="T180" s="135" t="str">
        <f t="shared" si="141"/>
        <v>Yes</v>
      </c>
      <c r="U180" s="1528">
        <f>IF(S180&lt;=0,0,IF(S180&gt;=1,1,S180))</f>
        <v>0.27660892248646951</v>
      </c>
      <c r="V180" s="1496">
        <f>AC180</f>
        <v>77488.59596084425</v>
      </c>
      <c r="W180" s="1529">
        <f t="shared" si="135"/>
        <v>6.6752191460547228E-2</v>
      </c>
      <c r="X180" s="527">
        <f>(E180*$B$12-O180-L180)*(1-U180)+I180*(1-J180)</f>
        <v>55436.163761568474</v>
      </c>
      <c r="Y180" s="1511">
        <f t="shared" si="144"/>
        <v>9483.9194914905984</v>
      </c>
      <c r="Z180" s="1533">
        <f t="shared" si="145"/>
        <v>1902.4705235478471</v>
      </c>
      <c r="AA180" s="1533">
        <f t="shared" si="146"/>
        <v>0</v>
      </c>
      <c r="AB180" s="1533">
        <f>E180*$E$12</f>
        <v>10666.04218423734</v>
      </c>
      <c r="AC180" s="1533">
        <f>SUM(X180:AB180)</f>
        <v>77488.59596084425</v>
      </c>
      <c r="AD180" s="1489">
        <f t="shared" si="149"/>
        <v>0</v>
      </c>
      <c r="AE180" s="649">
        <f t="shared" si="150"/>
        <v>0.71541061073788093</v>
      </c>
      <c r="AF180" s="417">
        <f t="shared" si="151"/>
        <v>0.12239116445319149</v>
      </c>
      <c r="AG180" s="417">
        <f t="shared" si="152"/>
        <v>2.4551619499070341E-2</v>
      </c>
      <c r="AH180" s="417">
        <f t="shared" si="165"/>
        <v>0</v>
      </c>
      <c r="AI180" s="417">
        <f t="shared" si="153"/>
        <v>0.13764660530985742</v>
      </c>
      <c r="AJ180" s="417">
        <f t="shared" si="154"/>
        <v>1.0000000000000002</v>
      </c>
      <c r="AK180" s="1499">
        <f t="shared" si="155"/>
        <v>40941.327826680026</v>
      </c>
      <c r="AL180" s="1500">
        <f t="shared" si="156"/>
        <v>13684.376780586761</v>
      </c>
      <c r="AM180" s="1500">
        <f t="shared" si="157"/>
        <v>810.45915430168679</v>
      </c>
      <c r="AN180" s="1500">
        <f t="shared" si="158"/>
        <v>55436.163761568474</v>
      </c>
      <c r="AO180" s="1186">
        <f t="shared" si="159"/>
        <v>0</v>
      </c>
    </row>
    <row r="181" spans="1:41">
      <c r="A181" s="873">
        <f>'Input data'!A121</f>
        <v>2021</v>
      </c>
      <c r="B181" s="1553">
        <f>'Input data'!B121</f>
        <v>59.991999999999997</v>
      </c>
      <c r="C181" s="1552">
        <f>'Input data'!C121</f>
        <v>3014.38</v>
      </c>
      <c r="D181" s="1513">
        <f>'Input data'!E121</f>
        <v>47328556.831579238</v>
      </c>
      <c r="E181" s="1510">
        <f>'Input data'!J121*C181</f>
        <v>36230.947115600815</v>
      </c>
      <c r="F181" s="1511">
        <f>'Input data'!L121</f>
        <v>83559.503947180056</v>
      </c>
      <c r="G181" s="1559">
        <f>G177*0.65</f>
        <v>44485.810425950018</v>
      </c>
      <c r="H181" s="1511">
        <f t="shared" si="160"/>
        <v>20719.356171508938</v>
      </c>
      <c r="I181" s="1513">
        <f t="shared" si="136"/>
        <v>47328.556831579241</v>
      </c>
      <c r="J181" s="1456">
        <f t="shared" si="161"/>
        <v>0.16568689595049965</v>
      </c>
      <c r="K181" s="1514">
        <f t="shared" si="162"/>
        <v>4928.7560272846749</v>
      </c>
      <c r="L181" s="1514">
        <f t="shared" si="137"/>
        <v>0</v>
      </c>
      <c r="M181" s="1513">
        <f t="shared" si="163"/>
        <v>4928.7560272846749</v>
      </c>
      <c r="N181" s="1456">
        <v>0.4</v>
      </c>
      <c r="O181" s="530">
        <f t="shared" si="138"/>
        <v>601.53360000000021</v>
      </c>
      <c r="P181" s="1212">
        <f t="shared" si="166"/>
        <v>5530.2896272846756</v>
      </c>
      <c r="Q181" s="1366">
        <f t="shared" si="139"/>
        <v>59674.876970174279</v>
      </c>
      <c r="R181" s="1366">
        <f t="shared" si="164"/>
        <v>15189.066544224261</v>
      </c>
      <c r="S181" s="576">
        <f t="shared" si="140"/>
        <v>0.75237938811993599</v>
      </c>
      <c r="T181" s="135" t="str">
        <f t="shared" si="141"/>
        <v>Yes</v>
      </c>
      <c r="U181" s="1528">
        <f t="shared" si="142"/>
        <v>0.75237938811993599</v>
      </c>
      <c r="V181" s="1496">
        <f t="shared" si="134"/>
        <v>68370.437402955795</v>
      </c>
      <c r="W181" s="1529">
        <f t="shared" si="135"/>
        <v>0.18177545134573359</v>
      </c>
      <c r="X181" s="527">
        <f t="shared" si="143"/>
        <v>44485.810425950018</v>
      </c>
      <c r="Y181" s="1511">
        <f t="shared" si="144"/>
        <v>10743.028570395385</v>
      </c>
      <c r="Z181" s="1533">
        <f t="shared" si="145"/>
        <v>2238.7918742794518</v>
      </c>
      <c r="AA181" s="1533">
        <f t="shared" si="146"/>
        <v>0</v>
      </c>
      <c r="AB181" s="1533">
        <f t="shared" si="147"/>
        <v>10902.806532330944</v>
      </c>
      <c r="AC181" s="1533">
        <f t="shared" si="148"/>
        <v>68370.437402955795</v>
      </c>
      <c r="AD181" s="1005">
        <f t="shared" si="149"/>
        <v>0</v>
      </c>
      <c r="AE181" s="649">
        <f t="shared" si="150"/>
        <v>0.65065856115214504</v>
      </c>
      <c r="AF181" s="417">
        <f t="shared" si="151"/>
        <v>0.1571297329440654</v>
      </c>
      <c r="AG181" s="417">
        <f t="shared" si="152"/>
        <v>3.2745027812015493E-2</v>
      </c>
      <c r="AH181" s="417">
        <f t="shared" si="165"/>
        <v>0</v>
      </c>
      <c r="AI181" s="417">
        <f t="shared" si="153"/>
        <v>0.15946667809177412</v>
      </c>
      <c r="AJ181" s="417">
        <f t="shared" si="154"/>
        <v>1</v>
      </c>
      <c r="AK181" s="1499">
        <f t="shared" si="155"/>
        <v>39486.835160338058</v>
      </c>
      <c r="AL181" s="1500">
        <f t="shared" si="156"/>
        <v>4788.2153741274924</v>
      </c>
      <c r="AM181" s="1500">
        <f t="shared" si="157"/>
        <v>210.7598914844657</v>
      </c>
      <c r="AN181" s="1500">
        <f t="shared" si="158"/>
        <v>44485.810425950018</v>
      </c>
      <c r="AO181" s="1186">
        <f t="shared" si="159"/>
        <v>0</v>
      </c>
    </row>
    <row r="182" spans="1:41">
      <c r="A182" s="873">
        <f>'Input data'!A122</f>
        <v>2022</v>
      </c>
      <c r="B182" s="1553">
        <f>'Input data'!B122</f>
        <v>60.682000000000002</v>
      </c>
      <c r="C182" s="1552">
        <f>'Input data'!C122</f>
        <v>3077.2</v>
      </c>
      <c r="D182" s="1513">
        <f>'Input data'!E122</f>
        <v>45903210.392984279</v>
      </c>
      <c r="E182" s="1510">
        <f>'Input data'!J122*C182</f>
        <v>36986.003909303676</v>
      </c>
      <c r="F182" s="1511">
        <f>'Input data'!L122</f>
        <v>82889.214302287961</v>
      </c>
      <c r="G182" s="1559">
        <f>G177*(1-E4)</f>
        <v>34219.854173807704</v>
      </c>
      <c r="H182" s="1511">
        <f t="shared" si="160"/>
        <v>30080.949799100847</v>
      </c>
      <c r="I182" s="1513">
        <f t="shared" si="136"/>
        <v>45903.210392984278</v>
      </c>
      <c r="J182" s="1456">
        <f t="shared" si="161"/>
        <v>0.19172168528933303</v>
      </c>
      <c r="K182" s="1514">
        <f t="shared" si="162"/>
        <v>5975.4020627874625</v>
      </c>
      <c r="L182" s="1514">
        <f t="shared" si="137"/>
        <v>0</v>
      </c>
      <c r="M182" s="1513">
        <f t="shared" si="163"/>
        <v>5975.4020627874625</v>
      </c>
      <c r="N182" s="1456">
        <f>$E$26</f>
        <v>0.5</v>
      </c>
      <c r="O182" s="530">
        <f t="shared" si="138"/>
        <v>751.91700000000026</v>
      </c>
      <c r="P182" s="1212">
        <f t="shared" si="166"/>
        <v>6727.3190627874628</v>
      </c>
      <c r="Q182" s="1366">
        <f t="shared" si="139"/>
        <v>57573.484910121086</v>
      </c>
      <c r="R182" s="1366">
        <f t="shared" si="164"/>
        <v>23353.630736313382</v>
      </c>
      <c r="S182" s="576">
        <f t="shared" si="140"/>
        <v>1.1408200517560803</v>
      </c>
      <c r="T182" s="135" t="str">
        <f t="shared" si="141"/>
        <v>No</v>
      </c>
      <c r="U182" s="1528">
        <f t="shared" si="142"/>
        <v>1</v>
      </c>
      <c r="V182" s="1496">
        <f t="shared" si="134"/>
        <v>62418.298928417367</v>
      </c>
      <c r="W182" s="1529">
        <f>(1-V182/F182)</f>
        <v>0.24696717837396054</v>
      </c>
      <c r="X182" s="527">
        <f t="shared" si="143"/>
        <v>37102.569536250499</v>
      </c>
      <c r="Y182" s="1511">
        <f t="shared" si="144"/>
        <v>11762.411300432748</v>
      </c>
      <c r="Z182" s="1533">
        <f t="shared" si="145"/>
        <v>2423.2959109577191</v>
      </c>
      <c r="AA182" s="1533">
        <f t="shared" si="146"/>
        <v>0</v>
      </c>
      <c r="AB182" s="1533">
        <f t="shared" si="147"/>
        <v>11130.022180776405</v>
      </c>
      <c r="AC182" s="1533">
        <f t="shared" si="148"/>
        <v>62418.298928417367</v>
      </c>
      <c r="AD182" s="1005">
        <f t="shared" si="149"/>
        <v>2882.7153624427956</v>
      </c>
      <c r="AE182" s="649">
        <f t="shared" si="150"/>
        <v>0.59441814617217481</v>
      </c>
      <c r="AF182" s="417">
        <f t="shared" si="151"/>
        <v>0.1884449192362985</v>
      </c>
      <c r="AG182" s="417">
        <f t="shared" si="152"/>
        <v>3.8823485300950068E-2</v>
      </c>
      <c r="AH182" s="417">
        <f t="shared" si="165"/>
        <v>0</v>
      </c>
      <c r="AI182" s="417">
        <f t="shared" si="153"/>
        <v>0.17831344929057663</v>
      </c>
      <c r="AJ182" s="417">
        <f t="shared" si="154"/>
        <v>1</v>
      </c>
      <c r="AK182" s="1499">
        <f t="shared" si="155"/>
        <v>37102.569536250507</v>
      </c>
      <c r="AL182" s="1500">
        <f t="shared" si="156"/>
        <v>0</v>
      </c>
      <c r="AM182" s="1500">
        <f t="shared" si="157"/>
        <v>0</v>
      </c>
      <c r="AN182" s="1500">
        <f t="shared" si="158"/>
        <v>37102.569536250507</v>
      </c>
      <c r="AO182" s="1186">
        <f t="shared" si="159"/>
        <v>0</v>
      </c>
    </row>
    <row r="183" spans="1:41">
      <c r="A183" s="873">
        <f>'Input data'!A123</f>
        <v>2023</v>
      </c>
      <c r="B183" s="1553">
        <f>'Input data'!B123</f>
        <v>61.381</v>
      </c>
      <c r="C183" s="1552">
        <f>'Input data'!C123</f>
        <v>3140.61</v>
      </c>
      <c r="D183" s="1513">
        <f>'Input data'!E123</f>
        <v>44745286.877069645</v>
      </c>
      <c r="E183" s="1510">
        <f>'Input data'!J123*C183</f>
        <v>37748.152131027629</v>
      </c>
      <c r="F183" s="1511">
        <f>'Input data'!L123</f>
        <v>82493.439008097281</v>
      </c>
      <c r="G183" s="1559">
        <f>($G$147-$G$142)/($A$147-$A$142)+G182</f>
        <v>32166.662923379241</v>
      </c>
      <c r="H183" s="1511">
        <f t="shared" si="160"/>
        <v>31484.811183407372</v>
      </c>
      <c r="I183" s="1513">
        <f t="shared" si="136"/>
        <v>44745.286877069644</v>
      </c>
      <c r="J183" s="1456">
        <f t="shared" si="161"/>
        <v>0.21775647462816641</v>
      </c>
      <c r="K183" s="1514">
        <f t="shared" si="162"/>
        <v>6989.6047065010425</v>
      </c>
      <c r="L183" s="1514">
        <f t="shared" si="137"/>
        <v>0</v>
      </c>
      <c r="M183" s="1513">
        <f t="shared" si="163"/>
        <v>6989.6047065010425</v>
      </c>
      <c r="N183" s="1456">
        <f>($N$147-$N$142)/($A$107-$A$102)+N182</f>
        <v>0.5</v>
      </c>
      <c r="O183" s="530">
        <f t="shared" si="138"/>
        <v>751.91700000000026</v>
      </c>
      <c r="P183" s="1212">
        <f t="shared" si="166"/>
        <v>7741.5217065010429</v>
      </c>
      <c r="Q183" s="1366">
        <f t="shared" si="139"/>
        <v>55909.952400285569</v>
      </c>
      <c r="R183" s="1366">
        <f t="shared" si="164"/>
        <v>23743.289476906328</v>
      </c>
      <c r="S183" s="576">
        <f t="shared" si="140"/>
        <v>1.13559476218608</v>
      </c>
      <c r="T183" s="135" t="str">
        <f t="shared" si="141"/>
        <v>No</v>
      </c>
      <c r="U183" s="1528">
        <f t="shared" si="142"/>
        <v>1</v>
      </c>
      <c r="V183" s="1496">
        <f t="shared" si="134"/>
        <v>61585.197558304717</v>
      </c>
      <c r="W183" s="1529">
        <f t="shared" si="135"/>
        <v>0.25345338612614121</v>
      </c>
      <c r="X183" s="527">
        <f t="shared" si="143"/>
        <v>35001.710950493005</v>
      </c>
      <c r="Y183" s="1511">
        <f t="shared" si="144"/>
        <v>12766.377783194815</v>
      </c>
      <c r="Z183" s="1533">
        <f t="shared" si="145"/>
        <v>2457.7370057009366</v>
      </c>
      <c r="AA183" s="1533">
        <f t="shared" si="146"/>
        <v>0</v>
      </c>
      <c r="AB183" s="1533">
        <f t="shared" si="147"/>
        <v>11359.371818915957</v>
      </c>
      <c r="AC183" s="1533">
        <f t="shared" si="148"/>
        <v>61585.197558304717</v>
      </c>
      <c r="AD183" s="1005">
        <f t="shared" si="149"/>
        <v>2835.048027113764</v>
      </c>
      <c r="AE183" s="649">
        <f t="shared" si="150"/>
        <v>0.56834616658257442</v>
      </c>
      <c r="AF183" s="417">
        <f t="shared" si="151"/>
        <v>0.20729620573366625</v>
      </c>
      <c r="AG183" s="417">
        <f t="shared" si="152"/>
        <v>3.9907917862472012E-2</v>
      </c>
      <c r="AH183" s="417">
        <f t="shared" si="165"/>
        <v>0</v>
      </c>
      <c r="AI183" s="417">
        <f t="shared" si="153"/>
        <v>0.18444970982128731</v>
      </c>
      <c r="AJ183" s="417">
        <f t="shared" si="154"/>
        <v>1</v>
      </c>
      <c r="AK183" s="1499">
        <f t="shared" si="155"/>
        <v>35001.710950492998</v>
      </c>
      <c r="AL183" s="1500">
        <f t="shared" si="156"/>
        <v>0</v>
      </c>
      <c r="AM183" s="1500">
        <f t="shared" si="157"/>
        <v>0</v>
      </c>
      <c r="AN183" s="1500">
        <f t="shared" si="158"/>
        <v>35001.710950492998</v>
      </c>
      <c r="AO183" s="1186">
        <f t="shared" si="159"/>
        <v>0</v>
      </c>
    </row>
    <row r="184" spans="1:41">
      <c r="A184" s="873">
        <f>'Input data'!A124</f>
        <v>2024</v>
      </c>
      <c r="B184" s="1553">
        <f>'Input data'!B124</f>
        <v>62.088000000000001</v>
      </c>
      <c r="C184" s="1552">
        <f>'Input data'!C124</f>
        <v>3201.77</v>
      </c>
      <c r="D184" s="1513">
        <f>'Input data'!E124</f>
        <v>43251251.992583826</v>
      </c>
      <c r="E184" s="1510">
        <f>'Input data'!J124*C184</f>
        <v>38483.256771315231</v>
      </c>
      <c r="F184" s="1511">
        <f>'Input data'!L124</f>
        <v>81734.508763899066</v>
      </c>
      <c r="G184" s="1559">
        <f t="shared" ref="G184:G186" si="167">($G$147-$G$142)/($A$147-$A$142)+G183</f>
        <v>30113.471672950778</v>
      </c>
      <c r="H184" s="1511">
        <f t="shared" si="160"/>
        <v>32557.730294222958</v>
      </c>
      <c r="I184" s="1513">
        <f t="shared" si="136"/>
        <v>43251.251992583828</v>
      </c>
      <c r="J184" s="1456">
        <f t="shared" si="161"/>
        <v>0.24379126396699979</v>
      </c>
      <c r="K184" s="1514">
        <f t="shared" si="162"/>
        <v>7882.2606398740209</v>
      </c>
      <c r="L184" s="1514">
        <f t="shared" si="137"/>
        <v>0</v>
      </c>
      <c r="M184" s="1513">
        <f t="shared" si="163"/>
        <v>7882.2606398740209</v>
      </c>
      <c r="N184" s="1456">
        <f>($N$147-$N$142)/($A$107-$A$102)+N183</f>
        <v>0.5</v>
      </c>
      <c r="O184" s="530">
        <f t="shared" si="138"/>
        <v>751.91700000000026</v>
      </c>
      <c r="P184" s="1212">
        <f t="shared" si="166"/>
        <v>8634.1776398740203</v>
      </c>
      <c r="Q184" s="1366">
        <f t="shared" si="139"/>
        <v>54037.024327299718</v>
      </c>
      <c r="R184" s="1366">
        <f t="shared" si="164"/>
        <v>23923.55265434894</v>
      </c>
      <c r="S184" s="576">
        <f t="shared" si="140"/>
        <v>1.1215891646528653</v>
      </c>
      <c r="T184" s="135" t="str">
        <f t="shared" si="141"/>
        <v>No</v>
      </c>
      <c r="U184" s="1528">
        <f t="shared" si="142"/>
        <v>1</v>
      </c>
      <c r="V184" s="1496">
        <f t="shared" si="134"/>
        <v>60404.459037755943</v>
      </c>
      <c r="W184" s="1529">
        <f t="shared" si="135"/>
        <v>0.26096749156170729</v>
      </c>
      <c r="X184" s="527">
        <f t="shared" si="143"/>
        <v>32706.974601156599</v>
      </c>
      <c r="Y184" s="1511">
        <f t="shared" si="144"/>
        <v>13625.94506123162</v>
      </c>
      <c r="Z184" s="1533">
        <f t="shared" si="145"/>
        <v>2490.9560146032422</v>
      </c>
      <c r="AA184" s="1533">
        <f t="shared" si="146"/>
        <v>0</v>
      </c>
      <c r="AB184" s="1533">
        <f t="shared" si="147"/>
        <v>11580.583360764484</v>
      </c>
      <c r="AC184" s="1533">
        <f t="shared" si="148"/>
        <v>60404.459037755943</v>
      </c>
      <c r="AD184" s="1005">
        <f t="shared" si="149"/>
        <v>2593.5029282058204</v>
      </c>
      <c r="AE184" s="649">
        <f t="shared" si="150"/>
        <v>0.54146622819207813</v>
      </c>
      <c r="AF184" s="417">
        <f t="shared" si="151"/>
        <v>0.22557846354877034</v>
      </c>
      <c r="AG184" s="417">
        <f t="shared" si="152"/>
        <v>4.1237949222362284E-2</v>
      </c>
      <c r="AH184" s="417">
        <f t="shared" si="165"/>
        <v>0</v>
      </c>
      <c r="AI184" s="417">
        <f t="shared" si="153"/>
        <v>0.19171735903678921</v>
      </c>
      <c r="AJ184" s="417">
        <f t="shared" si="154"/>
        <v>0.99999999999999989</v>
      </c>
      <c r="AK184" s="1499">
        <f t="shared" si="155"/>
        <v>32706.974601156599</v>
      </c>
      <c r="AL184" s="1500">
        <f t="shared" si="156"/>
        <v>0</v>
      </c>
      <c r="AM184" s="1500">
        <f t="shared" si="157"/>
        <v>0</v>
      </c>
      <c r="AN184" s="1500">
        <f t="shared" si="158"/>
        <v>32706.974601156599</v>
      </c>
      <c r="AO184" s="1186">
        <f t="shared" si="159"/>
        <v>0</v>
      </c>
    </row>
    <row r="185" spans="1:41">
      <c r="A185" s="873">
        <f>'Input data'!A125</f>
        <v>2025</v>
      </c>
      <c r="B185" s="1553">
        <f>'Input data'!B125</f>
        <v>62.802999999999997</v>
      </c>
      <c r="C185" s="1552">
        <f>'Input data'!C125</f>
        <v>3265.54</v>
      </c>
      <c r="D185" s="1513">
        <f>'Input data'!E125</f>
        <v>40955103.194912732</v>
      </c>
      <c r="E185" s="1510">
        <f>'Input data'!J125*C185</f>
        <v>39249.731966068997</v>
      </c>
      <c r="F185" s="1511">
        <f>'Input data'!L125</f>
        <v>80204.835160981718</v>
      </c>
      <c r="G185" s="1559">
        <f t="shared" si="167"/>
        <v>28060.280422522315</v>
      </c>
      <c r="H185" s="1511">
        <f t="shared" si="160"/>
        <v>32895.9044368084</v>
      </c>
      <c r="I185" s="1513">
        <f t="shared" si="136"/>
        <v>40955.103194912728</v>
      </c>
      <c r="J185" s="1456">
        <f t="shared" si="161"/>
        <v>0.26982605330583315</v>
      </c>
      <c r="K185" s="1514">
        <f t="shared" si="162"/>
        <v>8530.0598722378763</v>
      </c>
      <c r="L185" s="1514">
        <f t="shared" si="137"/>
        <v>0</v>
      </c>
      <c r="M185" s="1513">
        <f t="shared" si="163"/>
        <v>8530.0598722378763</v>
      </c>
      <c r="N185" s="1456">
        <f>($N$147-$N$142)/($A$107-$A$102)+N184</f>
        <v>0.5</v>
      </c>
      <c r="O185" s="530">
        <f t="shared" si="138"/>
        <v>751.91700000000026</v>
      </c>
      <c r="P185" s="1212">
        <f t="shared" si="166"/>
        <v>9281.9768722378758</v>
      </c>
      <c r="Q185" s="1366">
        <f t="shared" si="139"/>
        <v>51674.207987092843</v>
      </c>
      <c r="R185" s="1366">
        <f t="shared" si="164"/>
        <v>23613.927564570527</v>
      </c>
      <c r="S185" s="576">
        <f t="shared" si="140"/>
        <v>1.084707436287111</v>
      </c>
      <c r="T185" s="135" t="str">
        <f t="shared" si="141"/>
        <v>No</v>
      </c>
      <c r="U185" s="1528">
        <f t="shared" si="142"/>
        <v>1</v>
      </c>
      <c r="V185" s="1496">
        <f t="shared" si="134"/>
        <v>58434.976510985194</v>
      </c>
      <c r="W185" s="1529">
        <f t="shared" si="135"/>
        <v>0.27142825748973287</v>
      </c>
      <c r="X185" s="527">
        <f t="shared" si="143"/>
        <v>29904.349337096308</v>
      </c>
      <c r="Y185" s="1511">
        <f t="shared" si="144"/>
        <v>14193.799436497282</v>
      </c>
      <c r="Z185" s="1533">
        <f t="shared" si="145"/>
        <v>2525.5926430810055</v>
      </c>
      <c r="AA185" s="1533">
        <f t="shared" si="146"/>
        <v>0</v>
      </c>
      <c r="AB185" s="1533">
        <f t="shared" si="147"/>
        <v>11811.235094310599</v>
      </c>
      <c r="AC185" s="1533">
        <f t="shared" si="148"/>
        <v>58434.976510985194</v>
      </c>
      <c r="AD185" s="1005">
        <f t="shared" si="149"/>
        <v>1844.0689145739925</v>
      </c>
      <c r="AE185" s="649">
        <f t="shared" si="150"/>
        <v>0.51175428010096979</v>
      </c>
      <c r="AF185" s="417">
        <f t="shared" si="151"/>
        <v>0.24289903554301914</v>
      </c>
      <c r="AG185" s="417">
        <f t="shared" si="152"/>
        <v>4.3220564016248374E-2</v>
      </c>
      <c r="AH185" s="417">
        <f t="shared" si="165"/>
        <v>0</v>
      </c>
      <c r="AI185" s="417">
        <f t="shared" si="153"/>
        <v>0.20212612033976268</v>
      </c>
      <c r="AJ185" s="417">
        <f t="shared" si="154"/>
        <v>1</v>
      </c>
      <c r="AK185" s="1499">
        <f t="shared" si="155"/>
        <v>29904.349337096304</v>
      </c>
      <c r="AL185" s="1500">
        <f t="shared" si="156"/>
        <v>0</v>
      </c>
      <c r="AM185" s="1500">
        <f t="shared" si="157"/>
        <v>0</v>
      </c>
      <c r="AN185" s="1500">
        <f t="shared" si="158"/>
        <v>29904.349337096304</v>
      </c>
      <c r="AO185" s="1186">
        <f t="shared" si="159"/>
        <v>0</v>
      </c>
    </row>
    <row r="186" spans="1:41">
      <c r="A186" s="873">
        <f>'Input data'!A126</f>
        <v>2026</v>
      </c>
      <c r="B186" s="1553">
        <f>'Input data'!B126</f>
        <v>63.420999999999999</v>
      </c>
      <c r="C186" s="1552">
        <f>'Input data'!C126</f>
        <v>3341.28</v>
      </c>
      <c r="D186" s="1513">
        <f>'Input data'!E126</f>
        <v>39969673.998818383</v>
      </c>
      <c r="E186" s="1510">
        <f>'Input data'!J126*C186</f>
        <v>40160.079014064147</v>
      </c>
      <c r="F186" s="1511">
        <f>'Input data'!L126</f>
        <v>80129.753012882531</v>
      </c>
      <c r="G186" s="1559">
        <f t="shared" si="167"/>
        <v>26007.089172093853</v>
      </c>
      <c r="H186" s="1511">
        <f t="shared" si="160"/>
        <v>34546.681047281214</v>
      </c>
      <c r="I186" s="1513">
        <f t="shared" si="136"/>
        <v>39969.673998818384</v>
      </c>
      <c r="J186" s="1456">
        <f t="shared" si="161"/>
        <v>0.2958608426446665</v>
      </c>
      <c r="K186" s="1514">
        <f t="shared" si="162"/>
        <v>9365.4183825097407</v>
      </c>
      <c r="L186" s="1514">
        <f t="shared" si="137"/>
        <v>0</v>
      </c>
      <c r="M186" s="1513">
        <f t="shared" si="163"/>
        <v>9365.4183825097407</v>
      </c>
      <c r="N186" s="1456">
        <f>($N$147-$N$142)/($A$107-$A$102)+N185</f>
        <v>0.5</v>
      </c>
      <c r="O186" s="530">
        <f t="shared" si="138"/>
        <v>751.91700000000026</v>
      </c>
      <c r="P186" s="1212">
        <f t="shared" si="166"/>
        <v>10117.33538250974</v>
      </c>
      <c r="Q186" s="1366">
        <f t="shared" si="139"/>
        <v>50436.43483686533</v>
      </c>
      <c r="R186" s="1366">
        <f t="shared" si="164"/>
        <v>24429.345664771477</v>
      </c>
      <c r="S186" s="576">
        <f t="shared" si="140"/>
        <v>1.0958685666933496</v>
      </c>
      <c r="T186" s="135" t="str">
        <f t="shared" si="141"/>
        <v>No</v>
      </c>
      <c r="U186" s="1528">
        <f t="shared" si="142"/>
        <v>1</v>
      </c>
      <c r="V186" s="1496">
        <f t="shared" si="134"/>
        <v>57837.530745312572</v>
      </c>
      <c r="W186" s="1529">
        <f t="shared" si="135"/>
        <v>0.27820155971260785</v>
      </c>
      <c r="X186" s="527">
        <f t="shared" si="143"/>
        <v>28144.21256929536</v>
      </c>
      <c r="Y186" s="1511">
        <f t="shared" si="144"/>
        <v>15041.40590765981</v>
      </c>
      <c r="Z186" s="1533">
        <f t="shared" si="145"/>
        <v>2566.7307682324217</v>
      </c>
      <c r="AA186" s="1533">
        <f t="shared" si="146"/>
        <v>0</v>
      </c>
      <c r="AB186" s="1533">
        <f t="shared" si="147"/>
        <v>12085.18150012498</v>
      </c>
      <c r="AC186" s="1533">
        <f t="shared" si="148"/>
        <v>57837.530745312572</v>
      </c>
      <c r="AD186" s="1005">
        <f t="shared" si="149"/>
        <v>2137.123397201507</v>
      </c>
      <c r="AE186" s="1456">
        <f t="shared" si="150"/>
        <v>0.48660812808949838</v>
      </c>
      <c r="AF186" s="1506">
        <f t="shared" si="151"/>
        <v>0.26006307174306253</v>
      </c>
      <c r="AG186" s="1506">
        <f t="shared" si="152"/>
        <v>4.4378290967071445E-2</v>
      </c>
      <c r="AH186" s="1506">
        <f t="shared" si="165"/>
        <v>0</v>
      </c>
      <c r="AI186" s="1506">
        <f t="shared" si="153"/>
        <v>0.20895050920036762</v>
      </c>
      <c r="AJ186" s="1506">
        <f t="shared" si="154"/>
        <v>1</v>
      </c>
      <c r="AK186" s="1557">
        <f t="shared" si="155"/>
        <v>28144.212569295356</v>
      </c>
      <c r="AL186" s="1558">
        <f t="shared" si="156"/>
        <v>0</v>
      </c>
      <c r="AM186" s="1558">
        <f t="shared" si="157"/>
        <v>0</v>
      </c>
      <c r="AN186" s="1558">
        <f t="shared" si="158"/>
        <v>28144.212569295356</v>
      </c>
      <c r="AO186" s="1545">
        <f t="shared" si="159"/>
        <v>0</v>
      </c>
    </row>
    <row r="187" spans="1:41">
      <c r="A187" s="873">
        <f>'Input data'!A127</f>
        <v>2027</v>
      </c>
      <c r="B187" s="1553">
        <f>'Input data'!B127</f>
        <v>64.046000000000006</v>
      </c>
      <c r="C187" s="1552">
        <f>'Input data'!C127</f>
        <v>3416.2799999999997</v>
      </c>
      <c r="D187" s="1513">
        <f>'Input data'!E127</f>
        <v>38984244.802724026</v>
      </c>
      <c r="E187" s="1510">
        <f>'Input data'!J127*C187</f>
        <v>41061.531728609109</v>
      </c>
      <c r="F187" s="1511">
        <f>'Input data'!L127</f>
        <v>80045.776531333133</v>
      </c>
      <c r="G187" s="1559">
        <f>G177*(1-E5)</f>
        <v>23953.89792166539</v>
      </c>
      <c r="H187" s="1511">
        <f t="shared" si="160"/>
        <v>36192.354025894958</v>
      </c>
      <c r="I187" s="1513">
        <f t="shared" si="136"/>
        <v>38984.244802724024</v>
      </c>
      <c r="J187" s="1456">
        <f t="shared" si="161"/>
        <v>0.32189563198349985</v>
      </c>
      <c r="K187" s="1514">
        <f t="shared" si="162"/>
        <v>10149.466009724298</v>
      </c>
      <c r="L187" s="1514">
        <f t="shared" si="137"/>
        <v>0</v>
      </c>
      <c r="M187" s="1513">
        <f t="shared" si="163"/>
        <v>10149.466009724298</v>
      </c>
      <c r="N187" s="1456">
        <f>$C$27</f>
        <v>0.5</v>
      </c>
      <c r="O187" s="530">
        <f t="shared" si="138"/>
        <v>751.91700000000026</v>
      </c>
      <c r="P187" s="1212">
        <f t="shared" si="166"/>
        <v>10901.383009724297</v>
      </c>
      <c r="Q187" s="1366">
        <f t="shared" si="139"/>
        <v>49244.86893783605</v>
      </c>
      <c r="R187" s="1366">
        <f t="shared" si="164"/>
        <v>25290.971016170661</v>
      </c>
      <c r="S187" s="576">
        <f t="shared" si="140"/>
        <v>1.108791981130085</v>
      </c>
      <c r="T187" s="135" t="str">
        <f t="shared" si="141"/>
        <v>No</v>
      </c>
      <c r="U187" s="1528">
        <f t="shared" si="142"/>
        <v>1</v>
      </c>
      <c r="V187" s="1496">
        <f t="shared" si="134"/>
        <v>57236.294278048801</v>
      </c>
      <c r="W187" s="1529">
        <f t="shared" si="135"/>
        <v>0.28495547475082317</v>
      </c>
      <c r="X187" s="527">
        <f t="shared" si="143"/>
        <v>26435.386684551708</v>
      </c>
      <c r="Y187" s="1511">
        <f t="shared" si="144"/>
        <v>15836.989254075068</v>
      </c>
      <c r="Z187" s="1533">
        <f t="shared" si="145"/>
        <v>2607.4669629294931</v>
      </c>
      <c r="AA187" s="1533">
        <f t="shared" si="146"/>
        <v>0</v>
      </c>
      <c r="AB187" s="1533">
        <f t="shared" si="147"/>
        <v>12356.45137649253</v>
      </c>
      <c r="AC187" s="1533">
        <f t="shared" si="148"/>
        <v>57236.294278048801</v>
      </c>
      <c r="AD187" s="1005">
        <f t="shared" si="149"/>
        <v>2481.488762886318</v>
      </c>
      <c r="AE187" s="1456">
        <f t="shared" si="150"/>
        <v>0.46186405004018888</v>
      </c>
      <c r="AF187" s="1506">
        <f t="shared" si="151"/>
        <v>0.27669487435962203</v>
      </c>
      <c r="AG187" s="1506">
        <f t="shared" si="152"/>
        <v>4.5556180668557114E-2</v>
      </c>
      <c r="AH187" s="1506">
        <f t="shared" si="165"/>
        <v>0</v>
      </c>
      <c r="AI187" s="1506">
        <f t="shared" si="153"/>
        <v>0.2158848949316319</v>
      </c>
      <c r="AJ187" s="1506">
        <f t="shared" si="154"/>
        <v>1</v>
      </c>
      <c r="AK187" s="1557">
        <f t="shared" si="155"/>
        <v>26435.386684551704</v>
      </c>
      <c r="AL187" s="1558">
        <f t="shared" si="156"/>
        <v>0</v>
      </c>
      <c r="AM187" s="1558">
        <f t="shared" si="157"/>
        <v>0</v>
      </c>
      <c r="AN187" s="1558">
        <f t="shared" si="158"/>
        <v>26435.386684551704</v>
      </c>
      <c r="AO187" s="1545">
        <f t="shared" si="159"/>
        <v>0</v>
      </c>
    </row>
    <row r="188" spans="1:41">
      <c r="A188" s="873">
        <f>'Input data'!A128</f>
        <v>2028</v>
      </c>
      <c r="B188" s="1553">
        <f>'Input data'!B128</f>
        <v>64.676000000000002</v>
      </c>
      <c r="C188" s="1552">
        <f>'Input data'!C128</f>
        <v>3494.8800000000006</v>
      </c>
      <c r="D188" s="1513">
        <f>'Input data'!E128</f>
        <v>37998815.60662967</v>
      </c>
      <c r="E188" s="1510">
        <f>'Input data'!J128*C188</f>
        <v>42006.254173452246</v>
      </c>
      <c r="F188" s="1511">
        <f>'Input data'!L128</f>
        <v>80005.069780081918</v>
      </c>
      <c r="G188" s="1559">
        <f>($G$152-$G$147)/($A$152-$A$147)+G187</f>
        <v>21900.706671236927</v>
      </c>
      <c r="H188" s="1511">
        <f t="shared" si="160"/>
        <v>37862.855483823005</v>
      </c>
      <c r="I188" s="1513">
        <f t="shared" si="136"/>
        <v>37998.815606629672</v>
      </c>
      <c r="J188" s="1456">
        <f t="shared" si="161"/>
        <v>0.34793042132233321</v>
      </c>
      <c r="K188" s="1514">
        <f t="shared" si="162"/>
        <v>10882.202753881549</v>
      </c>
      <c r="L188" s="1514">
        <f t="shared" si="137"/>
        <v>0</v>
      </c>
      <c r="M188" s="1513">
        <f t="shared" si="163"/>
        <v>10882.202753881549</v>
      </c>
      <c r="N188" s="1456">
        <f>N187</f>
        <v>0.5</v>
      </c>
      <c r="O188" s="530">
        <f t="shared" si="138"/>
        <v>751.91700000000026</v>
      </c>
      <c r="P188" s="1212">
        <f t="shared" si="166"/>
        <v>11634.119753881549</v>
      </c>
      <c r="Q188" s="1366">
        <f t="shared" si="139"/>
        <v>48129.442401178385</v>
      </c>
      <c r="R188" s="1366">
        <f t="shared" si="164"/>
        <v>26228.735729941458</v>
      </c>
      <c r="S188" s="576">
        <f t="shared" si="140"/>
        <v>1.1232107701162932</v>
      </c>
      <c r="T188" s="135" t="str">
        <f t="shared" si="141"/>
        <v>No</v>
      </c>
      <c r="U188" s="1528">
        <f t="shared" si="142"/>
        <v>1</v>
      </c>
      <c r="V188" s="1496">
        <f t="shared" si="134"/>
        <v>56653.499061768904</v>
      </c>
      <c r="W188" s="1529">
        <f t="shared" si="135"/>
        <v>0.29187613713108251</v>
      </c>
      <c r="X188" s="527">
        <f t="shared" si="143"/>
        <v>24777.87168286536</v>
      </c>
      <c r="Y188" s="1511">
        <f t="shared" si="144"/>
        <v>16584.72667700579</v>
      </c>
      <c r="Z188" s="1533">
        <f t="shared" si="145"/>
        <v>2650.1584949720245</v>
      </c>
      <c r="AA188" s="1533">
        <f t="shared" si="146"/>
        <v>0</v>
      </c>
      <c r="AB188" s="1533">
        <f t="shared" si="147"/>
        <v>12640.742206925726</v>
      </c>
      <c r="AC188" s="1533">
        <f t="shared" si="148"/>
        <v>56653.499061768904</v>
      </c>
      <c r="AD188" s="1005">
        <f t="shared" si="149"/>
        <v>2877.1650116284327</v>
      </c>
      <c r="AE188" s="1456">
        <f t="shared" si="150"/>
        <v>0.4373581878120224</v>
      </c>
      <c r="AF188" s="1506">
        <f t="shared" si="151"/>
        <v>0.29273967101173365</v>
      </c>
      <c r="AG188" s="1506">
        <f t="shared" si="152"/>
        <v>4.6778372719442726E-2</v>
      </c>
      <c r="AH188" s="1506">
        <f t="shared" si="165"/>
        <v>0</v>
      </c>
      <c r="AI188" s="1506">
        <f t="shared" si="153"/>
        <v>0.22312376845680115</v>
      </c>
      <c r="AJ188" s="1506">
        <f t="shared" si="154"/>
        <v>1</v>
      </c>
      <c r="AK188" s="1557">
        <f t="shared" si="155"/>
        <v>24777.87168286536</v>
      </c>
      <c r="AL188" s="1558">
        <f t="shared" si="156"/>
        <v>0</v>
      </c>
      <c r="AM188" s="1558">
        <f t="shared" si="157"/>
        <v>0</v>
      </c>
      <c r="AN188" s="1558">
        <f t="shared" si="158"/>
        <v>24777.87168286536</v>
      </c>
      <c r="AO188" s="1545">
        <f t="shared" si="159"/>
        <v>0</v>
      </c>
    </row>
    <row r="189" spans="1:41">
      <c r="A189" s="873">
        <f>'Input data'!A129</f>
        <v>2029</v>
      </c>
      <c r="B189" s="1553">
        <f>'Input data'!B129</f>
        <v>65.313000000000002</v>
      </c>
      <c r="C189" s="1552">
        <f>'Input data'!C129</f>
        <v>3576.08</v>
      </c>
      <c r="D189" s="1513">
        <f>'Input data'!E129</f>
        <v>37013386.410535313</v>
      </c>
      <c r="E189" s="1510">
        <f>'Input data'!J129*C189</f>
        <v>42982.226979066254</v>
      </c>
      <c r="F189" s="1511">
        <f>'Input data'!L129</f>
        <v>79995.613389601567</v>
      </c>
      <c r="G189" s="1559">
        <f t="shared" ref="G189:G191" si="168">($G$152-$G$147)/($A$152-$A$147)+G188</f>
        <v>19847.515420808464</v>
      </c>
      <c r="H189" s="1511">
        <f t="shared" si="160"/>
        <v>39551.288621255801</v>
      </c>
      <c r="I189" s="1513">
        <f t="shared" si="136"/>
        <v>37013.386410535313</v>
      </c>
      <c r="J189" s="1456">
        <f t="shared" si="161"/>
        <v>0.37396521066116656</v>
      </c>
      <c r="K189" s="1514">
        <f t="shared" si="162"/>
        <v>11563.628614981495</v>
      </c>
      <c r="L189" s="1514">
        <f t="shared" si="137"/>
        <v>0</v>
      </c>
      <c r="M189" s="1513">
        <f t="shared" si="163"/>
        <v>11563.628614981495</v>
      </c>
      <c r="N189" s="1456">
        <f t="shared" ref="N189:N210" si="169">N188</f>
        <v>0.5</v>
      </c>
      <c r="O189" s="530">
        <f t="shared" si="138"/>
        <v>751.91700000000026</v>
      </c>
      <c r="P189" s="1212">
        <f t="shared" si="166"/>
        <v>12315.545614981495</v>
      </c>
      <c r="Q189" s="1366">
        <f t="shared" si="139"/>
        <v>47083.258427082772</v>
      </c>
      <c r="R189" s="1366">
        <f t="shared" si="164"/>
        <v>27235.743006274308</v>
      </c>
      <c r="S189" s="576">
        <f t="shared" si="140"/>
        <v>1.1390184435027648</v>
      </c>
      <c r="T189" s="135" t="str">
        <f t="shared" si="141"/>
        <v>No</v>
      </c>
      <c r="U189" s="1528">
        <f t="shared" si="142"/>
        <v>1</v>
      </c>
      <c r="V189" s="1496">
        <f t="shared" si="134"/>
        <v>56084.022526755114</v>
      </c>
      <c r="W189" s="1529">
        <f t="shared" si="135"/>
        <v>0.29891127587696775</v>
      </c>
      <c r="X189" s="527">
        <f t="shared" si="143"/>
        <v>23171.667564236312</v>
      </c>
      <c r="Y189" s="1511">
        <f t="shared" si="144"/>
        <v>17283.655687681759</v>
      </c>
      <c r="Z189" s="1533">
        <f t="shared" si="145"/>
        <v>2694.2622150973871</v>
      </c>
      <c r="AA189" s="1533">
        <f t="shared" si="146"/>
        <v>0</v>
      </c>
      <c r="AB189" s="1533">
        <f t="shared" si="147"/>
        <v>12934.437059739659</v>
      </c>
      <c r="AC189" s="1533">
        <f t="shared" si="148"/>
        <v>56084.022526755114</v>
      </c>
      <c r="AD189" s="1005">
        <f t="shared" si="149"/>
        <v>3324.1521434278475</v>
      </c>
      <c r="AE189" s="1456">
        <f t="shared" si="150"/>
        <v>0.41315987192577303</v>
      </c>
      <c r="AF189" s="1506">
        <f t="shared" si="151"/>
        <v>0.30817432325644117</v>
      </c>
      <c r="AG189" s="1506">
        <f t="shared" si="152"/>
        <v>4.8039746325472255E-2</v>
      </c>
      <c r="AH189" s="1506">
        <f t="shared" si="165"/>
        <v>0</v>
      </c>
      <c r="AI189" s="1506">
        <f t="shared" si="153"/>
        <v>0.2306260584923136</v>
      </c>
      <c r="AJ189" s="1506">
        <f t="shared" si="154"/>
        <v>1</v>
      </c>
      <c r="AK189" s="1557">
        <f t="shared" si="155"/>
        <v>23171.667564236315</v>
      </c>
      <c r="AL189" s="1558">
        <f t="shared" si="156"/>
        <v>0</v>
      </c>
      <c r="AM189" s="1558">
        <f t="shared" si="157"/>
        <v>0</v>
      </c>
      <c r="AN189" s="1558">
        <f t="shared" si="158"/>
        <v>23171.667564236315</v>
      </c>
      <c r="AO189" s="1545">
        <f t="shared" si="159"/>
        <v>0</v>
      </c>
    </row>
    <row r="190" spans="1:41">
      <c r="A190" s="873">
        <f>'Input data'!A130</f>
        <v>2030</v>
      </c>
      <c r="B190" s="1553">
        <f>'Input data'!B130</f>
        <v>65.956000000000003</v>
      </c>
      <c r="C190" s="1552">
        <f>'Input data'!C130</f>
        <v>3660.12</v>
      </c>
      <c r="D190" s="1513">
        <f>'Input data'!E130</f>
        <v>36027957.214440949</v>
      </c>
      <c r="E190" s="1510">
        <f>'Input data'!J130*C190</f>
        <v>43992.334794137714</v>
      </c>
      <c r="F190" s="1511">
        <f>'Input data'!L130</f>
        <v>80020.292008578661</v>
      </c>
      <c r="G190" s="1559">
        <f t="shared" si="168"/>
        <v>17794.324170380001</v>
      </c>
      <c r="H190" s="1511">
        <f t="shared" si="160"/>
        <v>41259.308670147642</v>
      </c>
      <c r="I190" s="1513">
        <f t="shared" si="136"/>
        <v>36027.957214440947</v>
      </c>
      <c r="J190" s="1506">
        <f>$H$19</f>
        <v>0.4</v>
      </c>
      <c r="K190" s="1514">
        <f t="shared" si="162"/>
        <v>12193.743593024137</v>
      </c>
      <c r="L190" s="1514">
        <f t="shared" si="137"/>
        <v>0</v>
      </c>
      <c r="M190" s="1513">
        <f t="shared" si="163"/>
        <v>12193.743593024137</v>
      </c>
      <c r="N190" s="1456">
        <f t="shared" si="169"/>
        <v>0.5</v>
      </c>
      <c r="O190" s="530">
        <f t="shared" si="138"/>
        <v>751.91700000000026</v>
      </c>
      <c r="P190" s="1212">
        <f t="shared" si="166"/>
        <v>12945.660593024137</v>
      </c>
      <c r="Q190" s="1366">
        <f t="shared" si="139"/>
        <v>46107.972247503509</v>
      </c>
      <c r="R190" s="1366">
        <f t="shared" si="164"/>
        <v>28313.648077123507</v>
      </c>
      <c r="S190" s="576">
        <f t="shared" si="140"/>
        <v>1.1560744464583452</v>
      </c>
      <c r="T190" s="135" t="str">
        <f t="shared" si="141"/>
        <v>No</v>
      </c>
      <c r="U190" s="1528">
        <f t="shared" si="142"/>
        <v>1</v>
      </c>
      <c r="V190" s="1496">
        <f t="shared" si="134"/>
        <v>55529.094089739723</v>
      </c>
      <c r="W190" s="1529">
        <f t="shared" si="135"/>
        <v>0.30606234123981113</v>
      </c>
      <c r="X190" s="527">
        <f t="shared" si="143"/>
        <v>21616.774328664567</v>
      </c>
      <c r="Y190" s="1511">
        <f t="shared" si="144"/>
        <v>17934.007283407827</v>
      </c>
      <c r="Z190" s="1533">
        <f t="shared" si="145"/>
        <v>2739.9084791286127</v>
      </c>
      <c r="AA190" s="1533">
        <f t="shared" si="146"/>
        <v>0</v>
      </c>
      <c r="AB190" s="1533">
        <f t="shared" si="147"/>
        <v>13238.403998538715</v>
      </c>
      <c r="AC190" s="1533">
        <f t="shared" si="148"/>
        <v>55529.094089739723</v>
      </c>
      <c r="AD190" s="1005">
        <f t="shared" si="149"/>
        <v>3822.450158284566</v>
      </c>
      <c r="AE190" s="1456">
        <f t="shared" si="150"/>
        <v>0.38928735797004049</v>
      </c>
      <c r="AF190" s="1506">
        <f t="shared" si="151"/>
        <v>0.32296596185100646</v>
      </c>
      <c r="AG190" s="1506">
        <f t="shared" si="152"/>
        <v>4.9341854464628729E-2</v>
      </c>
      <c r="AH190" s="1506">
        <f t="shared" si="165"/>
        <v>0</v>
      </c>
      <c r="AI190" s="1506">
        <f t="shared" si="153"/>
        <v>0.23840482571432431</v>
      </c>
      <c r="AJ190" s="1506">
        <f t="shared" si="154"/>
        <v>1</v>
      </c>
      <c r="AK190" s="1557">
        <f t="shared" si="155"/>
        <v>21616.774328664567</v>
      </c>
      <c r="AL190" s="1558">
        <f t="shared" si="156"/>
        <v>0</v>
      </c>
      <c r="AM190" s="1558">
        <f t="shared" si="157"/>
        <v>0</v>
      </c>
      <c r="AN190" s="1558">
        <f t="shared" si="158"/>
        <v>21616.774328664567</v>
      </c>
      <c r="AO190" s="1545">
        <f t="shared" si="159"/>
        <v>0</v>
      </c>
    </row>
    <row r="191" spans="1:41">
      <c r="A191" s="873">
        <f>'Input data'!A131</f>
        <v>2031</v>
      </c>
      <c r="B191" s="1553">
        <f>'Input data'!B131</f>
        <v>66.519000000000005</v>
      </c>
      <c r="C191" s="1552">
        <f>'Input data'!C131</f>
        <v>3761.03</v>
      </c>
      <c r="D191" s="1513">
        <f>'Input data'!E131</f>
        <v>35846430.699385166</v>
      </c>
      <c r="E191" s="1510">
        <f>'Input data'!J131*C191</f>
        <v>45205.209373134152</v>
      </c>
      <c r="F191" s="1511">
        <f>'Input data'!L131</f>
        <v>81051.640072519309</v>
      </c>
      <c r="G191" s="1559">
        <f t="shared" si="168"/>
        <v>15741.132919951538</v>
      </c>
      <c r="H191" s="1511">
        <f t="shared" si="160"/>
        <v>43838.10202079625</v>
      </c>
      <c r="I191" s="1513">
        <f t="shared" si="136"/>
        <v>35846.430699385164</v>
      </c>
      <c r="J191" s="1506">
        <f>J190</f>
        <v>0.4</v>
      </c>
      <c r="K191" s="1514">
        <f t="shared" si="162"/>
        <v>12132.305533498569</v>
      </c>
      <c r="L191" s="1514">
        <f t="shared" si="137"/>
        <v>0</v>
      </c>
      <c r="M191" s="1513">
        <f t="shared" si="163"/>
        <v>12132.305533498569</v>
      </c>
      <c r="N191" s="1456">
        <f t="shared" si="169"/>
        <v>0.5</v>
      </c>
      <c r="O191" s="530">
        <f t="shared" si="138"/>
        <v>751.91700000000026</v>
      </c>
      <c r="P191" s="1212">
        <f t="shared" si="166"/>
        <v>12884.222533498569</v>
      </c>
      <c r="Q191" s="1366">
        <f t="shared" si="139"/>
        <v>46695.012407249218</v>
      </c>
      <c r="R191" s="1366">
        <f t="shared" si="164"/>
        <v>30953.87948729768</v>
      </c>
      <c r="S191" s="576">
        <f t="shared" si="140"/>
        <v>1.2289550261420743</v>
      </c>
      <c r="T191" s="135" t="str">
        <f t="shared" si="141"/>
        <v>No</v>
      </c>
      <c r="U191" s="1528">
        <f t="shared" si="142"/>
        <v>1</v>
      </c>
      <c r="V191" s="1496">
        <f t="shared" si="134"/>
        <v>55864.486084901204</v>
      </c>
      <c r="W191" s="1529">
        <f t="shared" si="135"/>
        <v>0.31075440256461695</v>
      </c>
      <c r="X191" s="527">
        <f t="shared" si="143"/>
        <v>21507.858419631099</v>
      </c>
      <c r="Y191" s="1511">
        <f t="shared" si="144"/>
        <v>17958.521419187695</v>
      </c>
      <c r="Z191" s="1533">
        <f t="shared" si="145"/>
        <v>2794.7176712203664</v>
      </c>
      <c r="AA191" s="1533">
        <f t="shared" si="146"/>
        <v>0</v>
      </c>
      <c r="AB191" s="1533">
        <f t="shared" si="147"/>
        <v>13603.388574862045</v>
      </c>
      <c r="AC191" s="1533">
        <f t="shared" si="148"/>
        <v>55864.486084901204</v>
      </c>
      <c r="AD191" s="1005">
        <f t="shared" si="149"/>
        <v>5766.72549967956</v>
      </c>
      <c r="AE191" s="1456">
        <f t="shared" si="150"/>
        <v>0.38500055987168819</v>
      </c>
      <c r="AF191" s="1506">
        <f t="shared" si="151"/>
        <v>0.32146579477872333</v>
      </c>
      <c r="AG191" s="1506">
        <f t="shared" si="152"/>
        <v>5.0026731955844658E-2</v>
      </c>
      <c r="AH191" s="1506">
        <f t="shared" si="165"/>
        <v>0</v>
      </c>
      <c r="AI191" s="1506">
        <f t="shared" si="153"/>
        <v>0.24350691339374383</v>
      </c>
      <c r="AJ191" s="1506">
        <f t="shared" si="154"/>
        <v>1</v>
      </c>
      <c r="AK191" s="1557">
        <f t="shared" si="155"/>
        <v>21507.858419631099</v>
      </c>
      <c r="AL191" s="1558">
        <f t="shared" si="156"/>
        <v>0</v>
      </c>
      <c r="AM191" s="1558">
        <f t="shared" si="157"/>
        <v>0</v>
      </c>
      <c r="AN191" s="1558">
        <f t="shared" si="158"/>
        <v>21507.858419631099</v>
      </c>
      <c r="AO191" s="1545">
        <f t="shared" si="159"/>
        <v>0</v>
      </c>
    </row>
    <row r="192" spans="1:41">
      <c r="A192" s="873">
        <f>'Input data'!A132</f>
        <v>2032</v>
      </c>
      <c r="B192" s="1553">
        <f>'Input data'!B132</f>
        <v>67.087000000000003</v>
      </c>
      <c r="C192" s="1552">
        <f>'Input data'!C132</f>
        <v>3857.2</v>
      </c>
      <c r="D192" s="1513">
        <f>'Input data'!E132</f>
        <v>35664904.184329376</v>
      </c>
      <c r="E192" s="1510">
        <f>'Input data'!J132*C192</f>
        <v>46361.112140571342</v>
      </c>
      <c r="F192" s="1511">
        <f>'Input data'!L132</f>
        <v>82026.016324900716</v>
      </c>
      <c r="G192" s="1559">
        <f>G177*(1-E6)</f>
        <v>13687.941669523079</v>
      </c>
      <c r="H192" s="1511">
        <f t="shared" si="160"/>
        <v>46384.204540347695</v>
      </c>
      <c r="I192" s="1513">
        <f t="shared" si="136"/>
        <v>35664.904184329374</v>
      </c>
      <c r="J192" s="1506">
        <f t="shared" ref="J192:J210" si="170">J191</f>
        <v>0.4</v>
      </c>
      <c r="K192" s="1514">
        <f t="shared" si="162"/>
        <v>12070.867473972998</v>
      </c>
      <c r="L192" s="1514">
        <f t="shared" si="137"/>
        <v>0</v>
      </c>
      <c r="M192" s="1513">
        <f t="shared" si="163"/>
        <v>12070.867473972998</v>
      </c>
      <c r="N192" s="1456">
        <f t="shared" si="169"/>
        <v>0.5</v>
      </c>
      <c r="O192" s="530">
        <f t="shared" si="138"/>
        <v>751.91700000000026</v>
      </c>
      <c r="P192" s="1212">
        <f t="shared" si="166"/>
        <v>12822.784473972997</v>
      </c>
      <c r="Q192" s="1366">
        <f t="shared" si="139"/>
        <v>47249.361735897772</v>
      </c>
      <c r="R192" s="1366">
        <f t="shared" si="164"/>
        <v>33561.420066374689</v>
      </c>
      <c r="S192" s="576">
        <f t="shared" si="140"/>
        <v>1.2982930672755852</v>
      </c>
      <c r="T192" s="135" t="str">
        <f t="shared" si="141"/>
        <v>No</v>
      </c>
      <c r="U192" s="1528">
        <f t="shared" si="142"/>
        <v>1</v>
      </c>
      <c r="V192" s="1496">
        <f t="shared" si="134"/>
        <v>56175.597099600578</v>
      </c>
      <c r="W192" s="1529">
        <f t="shared" si="135"/>
        <v>0.31514902690029456</v>
      </c>
      <c r="X192" s="527">
        <f t="shared" si="143"/>
        <v>21398.942510597622</v>
      </c>
      <c r="Y192" s="1511">
        <f t="shared" si="144"/>
        <v>17978.473358196748</v>
      </c>
      <c r="Z192" s="1533">
        <f t="shared" si="145"/>
        <v>2846.9523358072647</v>
      </c>
      <c r="AA192" s="1533">
        <f t="shared" si="146"/>
        <v>0</v>
      </c>
      <c r="AB192" s="1533">
        <f t="shared" si="147"/>
        <v>13951.228894998943</v>
      </c>
      <c r="AC192" s="1533">
        <f t="shared" si="148"/>
        <v>56175.597099600578</v>
      </c>
      <c r="AD192" s="1005">
        <f t="shared" si="149"/>
        <v>7711.0008410745431</v>
      </c>
      <c r="AE192" s="1456">
        <f t="shared" si="150"/>
        <v>0.38092950703589001</v>
      </c>
      <c r="AF192" s="1506">
        <f t="shared" si="151"/>
        <v>0.32004062771812675</v>
      </c>
      <c r="AG192" s="1506">
        <f t="shared" si="152"/>
        <v>5.0679520695784595E-2</v>
      </c>
      <c r="AH192" s="1506">
        <f t="shared" si="165"/>
        <v>0</v>
      </c>
      <c r="AI192" s="1506">
        <f t="shared" si="153"/>
        <v>0.24835034455019864</v>
      </c>
      <c r="AJ192" s="1506">
        <f t="shared" si="154"/>
        <v>1</v>
      </c>
      <c r="AK192" s="1557">
        <f t="shared" si="155"/>
        <v>21398.942510597626</v>
      </c>
      <c r="AL192" s="1558">
        <f t="shared" si="156"/>
        <v>0</v>
      </c>
      <c r="AM192" s="1558">
        <f t="shared" si="157"/>
        <v>0</v>
      </c>
      <c r="AN192" s="1558">
        <f t="shared" si="158"/>
        <v>21398.942510597626</v>
      </c>
      <c r="AO192" s="1545">
        <f t="shared" si="159"/>
        <v>0</v>
      </c>
    </row>
    <row r="193" spans="1:41">
      <c r="A193" s="873">
        <f>'Input data'!A133</f>
        <v>2033</v>
      </c>
      <c r="B193" s="1553">
        <f>'Input data'!B133</f>
        <v>67.659000000000006</v>
      </c>
      <c r="C193" s="1552">
        <f>'Input data'!C133</f>
        <v>3964.01</v>
      </c>
      <c r="D193" s="1513">
        <f>'Input data'!E133</f>
        <v>35483377.6692736</v>
      </c>
      <c r="E193" s="1510">
        <f>'Input data'!J133*C193</f>
        <v>47644.900999778656</v>
      </c>
      <c r="F193" s="1511">
        <f>'Input data'!L133</f>
        <v>83128.278669052263</v>
      </c>
      <c r="G193" s="1559">
        <f>G192</f>
        <v>13687.941669523079</v>
      </c>
      <c r="H193" s="1511">
        <f t="shared" si="160"/>
        <v>46950.497759444042</v>
      </c>
      <c r="I193" s="1513">
        <f t="shared" si="136"/>
        <v>35483.377669273599</v>
      </c>
      <c r="J193" s="1506">
        <f t="shared" si="170"/>
        <v>0.4</v>
      </c>
      <c r="K193" s="1514">
        <f t="shared" si="162"/>
        <v>12009.429414447433</v>
      </c>
      <c r="L193" s="1514">
        <f t="shared" si="137"/>
        <v>0</v>
      </c>
      <c r="M193" s="1513">
        <f t="shared" si="163"/>
        <v>12009.429414447433</v>
      </c>
      <c r="N193" s="1456">
        <f t="shared" si="169"/>
        <v>0.5</v>
      </c>
      <c r="O193" s="530">
        <f t="shared" si="138"/>
        <v>751.91700000000026</v>
      </c>
      <c r="P193" s="1212">
        <f t="shared" si="166"/>
        <v>12761.346414447433</v>
      </c>
      <c r="Q193" s="1366">
        <f t="shared" si="139"/>
        <v>47877.093014519683</v>
      </c>
      <c r="R193" s="1366">
        <f t="shared" si="164"/>
        <v>34189.151344996601</v>
      </c>
      <c r="S193" s="576">
        <f t="shared" si="140"/>
        <v>1.2859316937778693</v>
      </c>
      <c r="T193" s="135" t="str">
        <f t="shared" si="141"/>
        <v>No</v>
      </c>
      <c r="U193" s="1528">
        <f t="shared" si="142"/>
        <v>1</v>
      </c>
      <c r="V193" s="1496">
        <f t="shared" si="134"/>
        <v>56541.21225609674</v>
      </c>
      <c r="W193" s="1529">
        <f t="shared" si="135"/>
        <v>0.31983179296666453</v>
      </c>
      <c r="X193" s="527">
        <f t="shared" si="143"/>
        <v>21290.026601564157</v>
      </c>
      <c r="Y193" s="1511">
        <f t="shared" si="144"/>
        <v>18008.666177720872</v>
      </c>
      <c r="Z193" s="1533">
        <f t="shared" si="145"/>
        <v>2904.9661085485213</v>
      </c>
      <c r="AA193" s="1533">
        <f t="shared" si="146"/>
        <v>0</v>
      </c>
      <c r="AB193" s="1533">
        <f t="shared" si="147"/>
        <v>14337.553368263189</v>
      </c>
      <c r="AC193" s="1533">
        <f t="shared" si="148"/>
        <v>56541.21225609674</v>
      </c>
      <c r="AD193" s="1005">
        <f t="shared" si="149"/>
        <v>7602.084932041078</v>
      </c>
      <c r="AE193" s="1456">
        <f t="shared" si="150"/>
        <v>0.3765399741543124</v>
      </c>
      <c r="AF193" s="1506">
        <f t="shared" si="151"/>
        <v>0.31850513031366828</v>
      </c>
      <c r="AG193" s="1506">
        <f t="shared" si="152"/>
        <v>5.1377853297358049E-2</v>
      </c>
      <c r="AH193" s="1506">
        <f t="shared" si="165"/>
        <v>0</v>
      </c>
      <c r="AI193" s="1506">
        <f t="shared" si="153"/>
        <v>0.25357704223466121</v>
      </c>
      <c r="AJ193" s="1506">
        <f t="shared" si="154"/>
        <v>0.99999999999999978</v>
      </c>
      <c r="AK193" s="1557">
        <f t="shared" si="155"/>
        <v>21290.026601564161</v>
      </c>
      <c r="AL193" s="1558">
        <f t="shared" si="156"/>
        <v>0</v>
      </c>
      <c r="AM193" s="1558">
        <f t="shared" si="157"/>
        <v>0</v>
      </c>
      <c r="AN193" s="1558">
        <f t="shared" si="158"/>
        <v>21290.026601564161</v>
      </c>
      <c r="AO193" s="1545">
        <f t="shared" si="159"/>
        <v>0</v>
      </c>
    </row>
    <row r="194" spans="1:41">
      <c r="A194" s="873">
        <f>'Input data'!A134</f>
        <v>2034</v>
      </c>
      <c r="B194" s="1553">
        <f>'Input data'!B134</f>
        <v>68.236999999999995</v>
      </c>
      <c r="C194" s="1552">
        <f>'Input data'!C134</f>
        <v>4078.22</v>
      </c>
      <c r="D194" s="1513">
        <f>'Input data'!E134</f>
        <v>35301851.154217809</v>
      </c>
      <c r="E194" s="1510">
        <f>'Input data'!J134*C194</f>
        <v>49017.633193487723</v>
      </c>
      <c r="F194" s="1511">
        <f>'Input data'!L134</f>
        <v>84319.484347705526</v>
      </c>
      <c r="G194" s="1559">
        <f t="shared" ref="G194:G210" si="171">G193</f>
        <v>13687.941669523079</v>
      </c>
      <c r="H194" s="1511">
        <f t="shared" si="160"/>
        <v>47567.827297130847</v>
      </c>
      <c r="I194" s="1513">
        <f t="shared" si="136"/>
        <v>35301.851154217809</v>
      </c>
      <c r="J194" s="1506">
        <f t="shared" si="170"/>
        <v>0.4</v>
      </c>
      <c r="K194" s="1514">
        <f t="shared" si="162"/>
        <v>11947.991354921862</v>
      </c>
      <c r="L194" s="1514">
        <f t="shared" si="137"/>
        <v>0</v>
      </c>
      <c r="M194" s="1513">
        <f t="shared" si="163"/>
        <v>11947.991354921862</v>
      </c>
      <c r="N194" s="1456">
        <f t="shared" si="169"/>
        <v>0.5</v>
      </c>
      <c r="O194" s="530">
        <f t="shared" si="138"/>
        <v>751.91700000000026</v>
      </c>
      <c r="P194" s="1212">
        <f t="shared" si="166"/>
        <v>12699.908354921861</v>
      </c>
      <c r="Q194" s="1366">
        <f t="shared" si="139"/>
        <v>48555.86061173206</v>
      </c>
      <c r="R194" s="1366">
        <f t="shared" si="164"/>
        <v>34867.918942208984</v>
      </c>
      <c r="S194" s="576">
        <f t="shared" si="140"/>
        <v>1.2737255699184196</v>
      </c>
      <c r="T194" s="135" t="str">
        <f t="shared" si="141"/>
        <v>No</v>
      </c>
      <c r="U194" s="1528">
        <f t="shared" si="142"/>
        <v>1</v>
      </c>
      <c r="V194" s="1496">
        <f t="shared" si="134"/>
        <v>56944.734428504162</v>
      </c>
      <c r="W194" s="1529">
        <f t="shared" si="135"/>
        <v>0.324655091654937</v>
      </c>
      <c r="X194" s="527">
        <f t="shared" si="143"/>
        <v>21181.110692530685</v>
      </c>
      <c r="Y194" s="1511">
        <f t="shared" si="144"/>
        <v>18045.981414144564</v>
      </c>
      <c r="Z194" s="1533">
        <f t="shared" si="145"/>
        <v>2966.9991858332214</v>
      </c>
      <c r="AA194" s="1533">
        <f t="shared" si="146"/>
        <v>0</v>
      </c>
      <c r="AB194" s="1533">
        <f t="shared" si="147"/>
        <v>14750.643135995693</v>
      </c>
      <c r="AC194" s="1533">
        <f t="shared" si="148"/>
        <v>56944.734428504162</v>
      </c>
      <c r="AD194" s="1005">
        <f t="shared" si="149"/>
        <v>7493.1690230076056</v>
      </c>
      <c r="AE194" s="1456">
        <f t="shared" si="150"/>
        <v>0.37195907409357071</v>
      </c>
      <c r="AF194" s="1506">
        <f t="shared" si="151"/>
        <v>0.31690342566794899</v>
      </c>
      <c r="AG194" s="1506">
        <f t="shared" si="152"/>
        <v>5.2103135006422392E-2</v>
      </c>
      <c r="AH194" s="1506">
        <f t="shared" si="165"/>
        <v>0</v>
      </c>
      <c r="AI194" s="1506">
        <f t="shared" si="153"/>
        <v>0.25903436523205797</v>
      </c>
      <c r="AJ194" s="1506">
        <f t="shared" si="154"/>
        <v>1</v>
      </c>
      <c r="AK194" s="1557">
        <f t="shared" si="155"/>
        <v>21181.110692530689</v>
      </c>
      <c r="AL194" s="1558">
        <f t="shared" si="156"/>
        <v>0</v>
      </c>
      <c r="AM194" s="1558">
        <f t="shared" si="157"/>
        <v>0</v>
      </c>
      <c r="AN194" s="1558">
        <f t="shared" si="158"/>
        <v>21181.110692530689</v>
      </c>
      <c r="AO194" s="1545">
        <f t="shared" si="159"/>
        <v>0</v>
      </c>
    </row>
    <row r="195" spans="1:41">
      <c r="A195" s="873">
        <f>'Input data'!A135</f>
        <v>2035</v>
      </c>
      <c r="B195" s="1553">
        <f>'Input data'!B135</f>
        <v>68.819000000000003</v>
      </c>
      <c r="C195" s="1552">
        <f>'Input data'!C135</f>
        <v>4200.2899999999991</v>
      </c>
      <c r="D195" s="1513">
        <f>'Input data'!E135</f>
        <v>35120324.639162026</v>
      </c>
      <c r="E195" s="1510">
        <f>'Input data'!J135*C195</f>
        <v>50484.837631681105</v>
      </c>
      <c r="F195" s="1511">
        <f>'Input data'!L135</f>
        <v>85605.162270843139</v>
      </c>
      <c r="G195" s="1559">
        <f t="shared" si="171"/>
        <v>13687.941669523079</v>
      </c>
      <c r="H195" s="1511">
        <f t="shared" si="160"/>
        <v>48239.365681320531</v>
      </c>
      <c r="I195" s="1513">
        <f t="shared" si="136"/>
        <v>35120.324639162027</v>
      </c>
      <c r="J195" s="1506">
        <f t="shared" si="170"/>
        <v>0.4</v>
      </c>
      <c r="K195" s="1514">
        <f t="shared" si="162"/>
        <v>11886.553295396294</v>
      </c>
      <c r="L195" s="1514">
        <f t="shared" si="137"/>
        <v>0</v>
      </c>
      <c r="M195" s="1513">
        <f t="shared" si="163"/>
        <v>11886.553295396294</v>
      </c>
      <c r="N195" s="1456">
        <f t="shared" si="169"/>
        <v>0.5</v>
      </c>
      <c r="O195" s="530">
        <f t="shared" si="138"/>
        <v>751.91700000000026</v>
      </c>
      <c r="P195" s="1212">
        <f t="shared" si="166"/>
        <v>12638.470295396293</v>
      </c>
      <c r="Q195" s="1366">
        <f t="shared" si="139"/>
        <v>49288.837055447315</v>
      </c>
      <c r="R195" s="1366">
        <f t="shared" si="164"/>
        <v>35600.895385924232</v>
      </c>
      <c r="S195" s="576">
        <f t="shared" si="140"/>
        <v>1.2616985055417012</v>
      </c>
      <c r="T195" s="135" t="str">
        <f t="shared" si="141"/>
        <v>No</v>
      </c>
      <c r="U195" s="1528">
        <f t="shared" si="142"/>
        <v>1</v>
      </c>
      <c r="V195" s="1496">
        <f t="shared" si="134"/>
        <v>57388.51999889304</v>
      </c>
      <c r="W195" s="1529">
        <f t="shared" si="135"/>
        <v>0.32961379341442587</v>
      </c>
      <c r="X195" s="527">
        <f t="shared" si="143"/>
        <v>21072.194783497216</v>
      </c>
      <c r="Y195" s="1511">
        <f t="shared" si="144"/>
        <v>18090.861812302133</v>
      </c>
      <c r="Z195" s="1533">
        <f t="shared" si="145"/>
        <v>3033.3014163221746</v>
      </c>
      <c r="AA195" s="1533">
        <f t="shared" si="146"/>
        <v>0</v>
      </c>
      <c r="AB195" s="1533">
        <f t="shared" si="147"/>
        <v>15192.161986771516</v>
      </c>
      <c r="AC195" s="1533">
        <f t="shared" si="148"/>
        <v>57388.51999889304</v>
      </c>
      <c r="AD195" s="1005">
        <f t="shared" si="149"/>
        <v>7384.2531139741368</v>
      </c>
      <c r="AE195" s="1456">
        <f t="shared" si="150"/>
        <v>0.36718484435395221</v>
      </c>
      <c r="AF195" s="1506">
        <f t="shared" si="151"/>
        <v>0.31523485555388231</v>
      </c>
      <c r="AG195" s="1506">
        <f t="shared" si="152"/>
        <v>5.2855543519517205E-2</v>
      </c>
      <c r="AH195" s="1506">
        <f t="shared" si="165"/>
        <v>0</v>
      </c>
      <c r="AI195" s="1506">
        <f t="shared" si="153"/>
        <v>0.26472475657264827</v>
      </c>
      <c r="AJ195" s="1506">
        <f t="shared" si="154"/>
        <v>0.99999999999999989</v>
      </c>
      <c r="AK195" s="1557">
        <f t="shared" si="155"/>
        <v>21072.194783497212</v>
      </c>
      <c r="AL195" s="1558">
        <f t="shared" si="156"/>
        <v>0</v>
      </c>
      <c r="AM195" s="1558">
        <f t="shared" si="157"/>
        <v>0</v>
      </c>
      <c r="AN195" s="1558">
        <f t="shared" si="158"/>
        <v>21072.194783497212</v>
      </c>
      <c r="AO195" s="1545">
        <f t="shared" si="159"/>
        <v>0</v>
      </c>
    </row>
    <row r="196" spans="1:41">
      <c r="A196" s="873">
        <f>'Input data'!A136</f>
        <v>2036</v>
      </c>
      <c r="B196" s="1553">
        <f>'Input data'!B136</f>
        <v>69.322999999999993</v>
      </c>
      <c r="C196" s="1552">
        <f>'Input data'!C136</f>
        <v>4325.9699999999993</v>
      </c>
      <c r="D196" s="1513">
        <f>'Input data'!E136</f>
        <v>32285395.803631678</v>
      </c>
      <c r="E196" s="1510">
        <f>'Input data'!J136*C196</f>
        <v>51995.431993867933</v>
      </c>
      <c r="F196" s="1511">
        <f>'Input data'!L136</f>
        <v>84280.827797499616</v>
      </c>
      <c r="G196" s="1559">
        <f t="shared" si="171"/>
        <v>13687.941669523079</v>
      </c>
      <c r="H196" s="1511">
        <f t="shared" si="160"/>
        <v>46445.710104756421</v>
      </c>
      <c r="I196" s="1513">
        <f t="shared" si="136"/>
        <v>32285.39580363168</v>
      </c>
      <c r="J196" s="1506">
        <f t="shared" si="170"/>
        <v>0.4</v>
      </c>
      <c r="K196" s="1514">
        <f t="shared" si="162"/>
        <v>10927.065220089276</v>
      </c>
      <c r="L196" s="1514">
        <f t="shared" si="137"/>
        <v>0</v>
      </c>
      <c r="M196" s="1513">
        <f t="shared" si="163"/>
        <v>10927.065220089276</v>
      </c>
      <c r="N196" s="1456">
        <f t="shared" si="169"/>
        <v>0.5</v>
      </c>
      <c r="O196" s="530">
        <f t="shared" si="138"/>
        <v>751.91700000000026</v>
      </c>
      <c r="P196" s="1212">
        <f t="shared" si="166"/>
        <v>11678.982220089276</v>
      </c>
      <c r="Q196" s="1366">
        <f t="shared" si="139"/>
        <v>48454.669554190223</v>
      </c>
      <c r="R196" s="1366">
        <f t="shared" si="164"/>
        <v>34766.72788466714</v>
      </c>
      <c r="S196" s="576">
        <f t="shared" si="140"/>
        <v>1.1954135192361053</v>
      </c>
      <c r="T196" s="135" t="str">
        <f t="shared" si="141"/>
        <v>No</v>
      </c>
      <c r="U196" s="1528">
        <f t="shared" si="142"/>
        <v>1</v>
      </c>
      <c r="V196" s="1496">
        <f t="shared" si="134"/>
        <v>55197.395725488401</v>
      </c>
      <c r="W196" s="1529">
        <f t="shared" si="135"/>
        <v>0.34507767462713557</v>
      </c>
      <c r="X196" s="527">
        <f t="shared" si="143"/>
        <v>19371.237482179007</v>
      </c>
      <c r="Y196" s="1511">
        <f t="shared" si="144"/>
        <v>17077.855866730344</v>
      </c>
      <c r="Z196" s="1533">
        <f t="shared" si="145"/>
        <v>3101.5644156492149</v>
      </c>
      <c r="AA196" s="1533">
        <f t="shared" si="146"/>
        <v>0</v>
      </c>
      <c r="AB196" s="1533">
        <f t="shared" si="147"/>
        <v>15646.737960929839</v>
      </c>
      <c r="AC196" s="1533">
        <f t="shared" si="148"/>
        <v>55197.395725488401</v>
      </c>
      <c r="AD196" s="1005">
        <f t="shared" si="149"/>
        <v>5683.2958126559279</v>
      </c>
      <c r="AE196" s="1456">
        <f t="shared" si="150"/>
        <v>0.35094477244030531</v>
      </c>
      <c r="AF196" s="1506">
        <f t="shared" si="151"/>
        <v>0.30939604382176195</v>
      </c>
      <c r="AG196" s="1506">
        <f t="shared" si="152"/>
        <v>5.6190412154119275E-2</v>
      </c>
      <c r="AH196" s="1506">
        <f t="shared" si="165"/>
        <v>0</v>
      </c>
      <c r="AI196" s="1506">
        <f t="shared" si="153"/>
        <v>0.28346877158381356</v>
      </c>
      <c r="AJ196" s="1506">
        <f t="shared" si="154"/>
        <v>1</v>
      </c>
      <c r="AK196" s="1557">
        <f t="shared" si="155"/>
        <v>19371.237482179007</v>
      </c>
      <c r="AL196" s="1558">
        <f t="shared" si="156"/>
        <v>0</v>
      </c>
      <c r="AM196" s="1558">
        <f t="shared" si="157"/>
        <v>0</v>
      </c>
      <c r="AN196" s="1558">
        <f t="shared" si="158"/>
        <v>19371.237482179007</v>
      </c>
      <c r="AO196" s="1545">
        <f t="shared" si="159"/>
        <v>0</v>
      </c>
    </row>
    <row r="197" spans="1:41">
      <c r="A197" s="873">
        <f>'Input data'!A137</f>
        <v>2037</v>
      </c>
      <c r="B197" s="1553">
        <f>'Input data'!B137</f>
        <v>69.83</v>
      </c>
      <c r="C197" s="1552">
        <f>'Input data'!C137</f>
        <v>4457.0000000000018</v>
      </c>
      <c r="D197" s="1513">
        <f>'Input data'!E137</f>
        <v>29450466.968101323</v>
      </c>
      <c r="E197" s="1510">
        <f>'Input data'!J137*C197</f>
        <v>53570.329983025658</v>
      </c>
      <c r="F197" s="1511">
        <f>'Input data'!L137</f>
        <v>83020.796951126977</v>
      </c>
      <c r="G197" s="1559">
        <f t="shared" si="171"/>
        <v>13687.941669523079</v>
      </c>
      <c r="H197" s="1511">
        <f t="shared" si="160"/>
        <v>44688.952407173274</v>
      </c>
      <c r="I197" s="1513">
        <f t="shared" si="136"/>
        <v>29450.466968101322</v>
      </c>
      <c r="J197" s="1506">
        <f t="shared" si="170"/>
        <v>0.4</v>
      </c>
      <c r="K197" s="1514">
        <f t="shared" si="162"/>
        <v>9967.5771447822535</v>
      </c>
      <c r="L197" s="1514">
        <f t="shared" si="137"/>
        <v>0</v>
      </c>
      <c r="M197" s="1513">
        <f t="shared" si="163"/>
        <v>9967.5771447822535</v>
      </c>
      <c r="N197" s="1456">
        <f t="shared" si="169"/>
        <v>0.5</v>
      </c>
      <c r="O197" s="530">
        <f t="shared" si="138"/>
        <v>751.91700000000026</v>
      </c>
      <c r="P197" s="1212">
        <f t="shared" si="166"/>
        <v>10719.494144782253</v>
      </c>
      <c r="Q197" s="1366">
        <f t="shared" si="139"/>
        <v>47657.3999319141</v>
      </c>
      <c r="R197" s="1366">
        <f t="shared" si="164"/>
        <v>33969.458262391025</v>
      </c>
      <c r="S197" s="576">
        <f t="shared" si="140"/>
        <v>1.1328016343149407</v>
      </c>
      <c r="T197" s="135" t="str">
        <f t="shared" si="141"/>
        <v>No</v>
      </c>
      <c r="U197" s="1528">
        <f t="shared" si="142"/>
        <v>1</v>
      </c>
      <c r="V197" s="1496">
        <f t="shared" si="134"/>
        <v>53033.677200073682</v>
      </c>
      <c r="W197" s="1529">
        <f t="shared" si="135"/>
        <v>0.36120009506420703</v>
      </c>
      <c r="X197" s="527">
        <f t="shared" si="143"/>
        <v>17670.280180860791</v>
      </c>
      <c r="Y197" s="1511">
        <f t="shared" si="144"/>
        <v>16069.999236079195</v>
      </c>
      <c r="Z197" s="1533">
        <f t="shared" si="145"/>
        <v>3172.7332635313132</v>
      </c>
      <c r="AA197" s="1533">
        <f t="shared" si="146"/>
        <v>0</v>
      </c>
      <c r="AB197" s="1533">
        <f t="shared" si="147"/>
        <v>16120.664519602384</v>
      </c>
      <c r="AC197" s="1533">
        <f t="shared" si="148"/>
        <v>53033.677200073682</v>
      </c>
      <c r="AD197" s="1005">
        <f t="shared" si="149"/>
        <v>3982.3385113377117</v>
      </c>
      <c r="AE197" s="1456">
        <f t="shared" si="150"/>
        <v>0.33318979776186897</v>
      </c>
      <c r="AF197" s="1506">
        <f t="shared" si="151"/>
        <v>0.30301499131304566</v>
      </c>
      <c r="AG197" s="1506">
        <f t="shared" si="152"/>
        <v>5.9824877908464268E-2</v>
      </c>
      <c r="AH197" s="1506">
        <f t="shared" si="165"/>
        <v>0</v>
      </c>
      <c r="AI197" s="1506">
        <f t="shared" si="153"/>
        <v>0.30397033301662113</v>
      </c>
      <c r="AJ197" s="1506">
        <f t="shared" si="154"/>
        <v>1</v>
      </c>
      <c r="AK197" s="1557">
        <f t="shared" si="155"/>
        <v>17670.280180860791</v>
      </c>
      <c r="AL197" s="1558">
        <f t="shared" si="156"/>
        <v>0</v>
      </c>
      <c r="AM197" s="1558">
        <f t="shared" si="157"/>
        <v>0</v>
      </c>
      <c r="AN197" s="1558">
        <f t="shared" si="158"/>
        <v>17670.280180860791</v>
      </c>
      <c r="AO197" s="1545">
        <f t="shared" si="159"/>
        <v>0</v>
      </c>
    </row>
    <row r="198" spans="1:41">
      <c r="A198" s="873">
        <f>'Input data'!A138</f>
        <v>2038</v>
      </c>
      <c r="B198" s="1553">
        <f>'Input data'!B138</f>
        <v>70.341999999999999</v>
      </c>
      <c r="C198" s="1552">
        <f>'Input data'!C138</f>
        <v>4590.03</v>
      </c>
      <c r="D198" s="1513">
        <f>'Input data'!E138</f>
        <v>26615538.132570967</v>
      </c>
      <c r="E198" s="1510">
        <f>'Input data'!J138*C198</f>
        <v>55169.266711237862</v>
      </c>
      <c r="F198" s="1511">
        <f>'Input data'!L138</f>
        <v>81784.80484380883</v>
      </c>
      <c r="G198" s="1559">
        <f t="shared" si="171"/>
        <v>13687.941669523079</v>
      </c>
      <c r="H198" s="1511">
        <f t="shared" si="160"/>
        <v>42945.988309209148</v>
      </c>
      <c r="I198" s="1513">
        <f t="shared" si="136"/>
        <v>26615.538132570968</v>
      </c>
      <c r="J198" s="1506">
        <f t="shared" si="170"/>
        <v>0.4</v>
      </c>
      <c r="K198" s="1514">
        <f t="shared" si="162"/>
        <v>9008.0890694752325</v>
      </c>
      <c r="L198" s="1514">
        <f t="shared" si="137"/>
        <v>0</v>
      </c>
      <c r="M198" s="1513">
        <f t="shared" si="163"/>
        <v>9008.0890694752325</v>
      </c>
      <c r="N198" s="1456">
        <f t="shared" si="169"/>
        <v>0.5</v>
      </c>
      <c r="O198" s="530">
        <f t="shared" si="138"/>
        <v>751.91700000000026</v>
      </c>
      <c r="P198" s="1212">
        <f t="shared" si="166"/>
        <v>9760.0060694752319</v>
      </c>
      <c r="Q198" s="1366">
        <f t="shared" si="139"/>
        <v>46873.923909256991</v>
      </c>
      <c r="R198" s="1366">
        <f t="shared" si="164"/>
        <v>33185.982239733916</v>
      </c>
      <c r="S198" s="576">
        <f t="shared" si="140"/>
        <v>1.0738201152581126</v>
      </c>
      <c r="T198" s="135" t="str">
        <f t="shared" si="141"/>
        <v>No</v>
      </c>
      <c r="U198" s="1528">
        <f t="shared" si="142"/>
        <v>1</v>
      </c>
      <c r="V198" s="1496">
        <f t="shared" si="134"/>
        <v>50880.203814094421</v>
      </c>
      <c r="W198" s="1529">
        <f t="shared" si="135"/>
        <v>0.37787705294076901</v>
      </c>
      <c r="X198" s="527">
        <f t="shared" si="143"/>
        <v>15969.32287954258</v>
      </c>
      <c r="Y198" s="1511">
        <f t="shared" si="144"/>
        <v>15064.067582968466</v>
      </c>
      <c r="Z198" s="1533">
        <f t="shared" si="145"/>
        <v>3244.988409938665</v>
      </c>
      <c r="AA198" s="1533">
        <f t="shared" si="146"/>
        <v>0</v>
      </c>
      <c r="AB198" s="1533">
        <f t="shared" si="147"/>
        <v>16601.824941644718</v>
      </c>
      <c r="AC198" s="1533">
        <f t="shared" si="148"/>
        <v>50880.203814094421</v>
      </c>
      <c r="AD198" s="1005">
        <f t="shared" si="149"/>
        <v>2281.3812100195009</v>
      </c>
      <c r="AE198" s="1456">
        <f t="shared" si="150"/>
        <v>0.313861220719381</v>
      </c>
      <c r="AF198" s="1506">
        <f t="shared" si="151"/>
        <v>0.29606932468292396</v>
      </c>
      <c r="AG198" s="1506">
        <f t="shared" si="152"/>
        <v>6.3777032454413338E-2</v>
      </c>
      <c r="AH198" s="1506">
        <f t="shared" si="165"/>
        <v>0</v>
      </c>
      <c r="AI198" s="1506">
        <f t="shared" si="153"/>
        <v>0.32629242214328191</v>
      </c>
      <c r="AJ198" s="1506">
        <f t="shared" si="154"/>
        <v>1.0000000000000002</v>
      </c>
      <c r="AK198" s="1557">
        <f t="shared" si="155"/>
        <v>15969.32287954258</v>
      </c>
      <c r="AL198" s="1558">
        <f t="shared" si="156"/>
        <v>0</v>
      </c>
      <c r="AM198" s="1558">
        <f t="shared" si="157"/>
        <v>0</v>
      </c>
      <c r="AN198" s="1558">
        <f t="shared" si="158"/>
        <v>15969.32287954258</v>
      </c>
      <c r="AO198" s="1545">
        <f t="shared" si="159"/>
        <v>0</v>
      </c>
    </row>
    <row r="199" spans="1:41">
      <c r="A199" s="873">
        <f>'Input data'!A139</f>
        <v>2039</v>
      </c>
      <c r="B199" s="1553">
        <f>'Input data'!B139</f>
        <v>70.856999999999999</v>
      </c>
      <c r="C199" s="1552">
        <f>'Input data'!C139</f>
        <v>4728.5300000000007</v>
      </c>
      <c r="D199" s="1513">
        <f>'Input data'!E139</f>
        <v>23780609.297040608</v>
      </c>
      <c r="E199" s="1510">
        <f>'Input data'!J139*C199</f>
        <v>56833.949390764246</v>
      </c>
      <c r="F199" s="1511">
        <f>'Input data'!L139</f>
        <v>80614.558687804849</v>
      </c>
      <c r="G199" s="1559">
        <f t="shared" si="171"/>
        <v>13687.941669523079</v>
      </c>
      <c r="H199" s="1511">
        <f t="shared" si="160"/>
        <v>41240.749706203133</v>
      </c>
      <c r="I199" s="1513">
        <f t="shared" si="136"/>
        <v>23780.609297040606</v>
      </c>
      <c r="J199" s="1506">
        <f t="shared" si="170"/>
        <v>0.4</v>
      </c>
      <c r="K199" s="1514">
        <f t="shared" si="162"/>
        <v>8048.6009941682096</v>
      </c>
      <c r="L199" s="1514">
        <f t="shared" si="137"/>
        <v>0</v>
      </c>
      <c r="M199" s="1513">
        <f t="shared" si="163"/>
        <v>8048.6009941682096</v>
      </c>
      <c r="N199" s="1456">
        <f t="shared" si="169"/>
        <v>0.5</v>
      </c>
      <c r="O199" s="530">
        <f t="shared" si="138"/>
        <v>751.91700000000026</v>
      </c>
      <c r="P199" s="1212">
        <f t="shared" si="166"/>
        <v>8800.517994168209</v>
      </c>
      <c r="Q199" s="1366">
        <f t="shared" si="139"/>
        <v>46128.173381558001</v>
      </c>
      <c r="R199" s="1366">
        <f t="shared" si="164"/>
        <v>32440.231712034922</v>
      </c>
      <c r="S199" s="576">
        <f t="shared" si="140"/>
        <v>1.0182180605822913</v>
      </c>
      <c r="T199" s="135" t="str">
        <f t="shared" si="141"/>
        <v>No</v>
      </c>
      <c r="U199" s="1528">
        <f t="shared" si="142"/>
        <v>1</v>
      </c>
      <c r="V199" s="1496">
        <f t="shared" si="134"/>
        <v>48754.750884471221</v>
      </c>
      <c r="W199" s="1529">
        <f t="shared" si="135"/>
        <v>0.39521158860047567</v>
      </c>
      <c r="X199" s="527">
        <f t="shared" si="143"/>
        <v>14268.365578224364</v>
      </c>
      <c r="Y199" s="1511">
        <f t="shared" si="144"/>
        <v>14063.400743430801</v>
      </c>
      <c r="Z199" s="1533">
        <f t="shared" si="145"/>
        <v>3320.2145828125908</v>
      </c>
      <c r="AA199" s="1533">
        <f t="shared" si="146"/>
        <v>0</v>
      </c>
      <c r="AB199" s="1533">
        <f t="shared" si="147"/>
        <v>17102.769980003464</v>
      </c>
      <c r="AC199" s="1533">
        <f t="shared" si="148"/>
        <v>48754.750884471221</v>
      </c>
      <c r="AD199" s="1005">
        <f t="shared" si="149"/>
        <v>580.42390870128474</v>
      </c>
      <c r="AE199" s="1456">
        <f t="shared" si="150"/>
        <v>0.292655901617353</v>
      </c>
      <c r="AF199" s="1506">
        <f t="shared" si="151"/>
        <v>0.28845190444630303</v>
      </c>
      <c r="AG199" s="1506">
        <f t="shared" si="152"/>
        <v>6.8100329149053368E-2</v>
      </c>
      <c r="AH199" s="1506">
        <f t="shared" si="165"/>
        <v>0</v>
      </c>
      <c r="AI199" s="1506">
        <f t="shared" si="153"/>
        <v>0.35079186478729057</v>
      </c>
      <c r="AJ199" s="1506">
        <f t="shared" si="154"/>
        <v>1</v>
      </c>
      <c r="AK199" s="1557">
        <f t="shared" si="155"/>
        <v>14268.365578224362</v>
      </c>
      <c r="AL199" s="1558">
        <f t="shared" si="156"/>
        <v>0</v>
      </c>
      <c r="AM199" s="1558">
        <f t="shared" si="157"/>
        <v>0</v>
      </c>
      <c r="AN199" s="1558">
        <f t="shared" si="158"/>
        <v>14268.365578224362</v>
      </c>
      <c r="AO199" s="1545">
        <f t="shared" si="159"/>
        <v>0</v>
      </c>
    </row>
    <row r="200" spans="1:41">
      <c r="A200" s="873">
        <f>'Input data'!A140</f>
        <v>2040</v>
      </c>
      <c r="B200" s="1553">
        <f>'Input data'!B140</f>
        <v>71.375</v>
      </c>
      <c r="C200" s="1552">
        <f>'Input data'!C140</f>
        <v>4875.51</v>
      </c>
      <c r="D200" s="1513">
        <f>'Input data'!E140</f>
        <v>20945680.461510252</v>
      </c>
      <c r="E200" s="1510">
        <f>'Input data'!J140*C200</f>
        <v>58600.556323881829</v>
      </c>
      <c r="F200" s="1511">
        <f>'Input data'!L140</f>
        <v>79546.236785392073</v>
      </c>
      <c r="G200" s="1559">
        <f t="shared" si="171"/>
        <v>13687.941669523079</v>
      </c>
      <c r="H200" s="1511">
        <f t="shared" si="160"/>
        <v>39593.995965581897</v>
      </c>
      <c r="I200" s="1513">
        <f t="shared" si="136"/>
        <v>20945.680461510252</v>
      </c>
      <c r="J200" s="1506">
        <f t="shared" si="170"/>
        <v>0.4</v>
      </c>
      <c r="K200" s="1514">
        <f t="shared" si="162"/>
        <v>7089.1129188611885</v>
      </c>
      <c r="L200" s="1514">
        <f t="shared" si="137"/>
        <v>0</v>
      </c>
      <c r="M200" s="1513">
        <f t="shared" si="163"/>
        <v>7089.1129188611885</v>
      </c>
      <c r="N200" s="1456">
        <f t="shared" si="169"/>
        <v>0.5</v>
      </c>
      <c r="O200" s="530">
        <f t="shared" si="138"/>
        <v>751.91700000000026</v>
      </c>
      <c r="P200" s="1212">
        <f t="shared" si="166"/>
        <v>7841.0299188611889</v>
      </c>
      <c r="Q200" s="1366">
        <f t="shared" si="139"/>
        <v>45440.907716243782</v>
      </c>
      <c r="R200" s="1366">
        <f t="shared" si="164"/>
        <v>31752.966046720703</v>
      </c>
      <c r="S200" s="576">
        <f t="shared" si="140"/>
        <v>0.96591377821869318</v>
      </c>
      <c r="T200" s="135" t="str">
        <f t="shared" si="141"/>
        <v>Yes</v>
      </c>
      <c r="U200" s="1528">
        <f t="shared" si="142"/>
        <v>0.96591377821869318</v>
      </c>
      <c r="V200" s="1496">
        <f t="shared" si="134"/>
        <v>47793.270738671388</v>
      </c>
      <c r="W200" s="1529">
        <f t="shared" si="135"/>
        <v>0.39917621913890244</v>
      </c>
      <c r="X200" s="527">
        <f t="shared" si="143"/>
        <v>13687.941669523079</v>
      </c>
      <c r="Y200" s="1511">
        <f t="shared" si="144"/>
        <v>13070.895808664543</v>
      </c>
      <c r="Z200" s="1533">
        <f t="shared" si="145"/>
        <v>3400.0466614335983</v>
      </c>
      <c r="AA200" s="1533">
        <f t="shared" si="146"/>
        <v>0</v>
      </c>
      <c r="AB200" s="1533">
        <f t="shared" si="147"/>
        <v>17634.386599050165</v>
      </c>
      <c r="AC200" s="1533">
        <f t="shared" si="148"/>
        <v>47793.270738671388</v>
      </c>
      <c r="AD200" s="1005">
        <f t="shared" si="149"/>
        <v>0</v>
      </c>
      <c r="AE200" s="1456">
        <f t="shared" si="150"/>
        <v>0.28639893143884865</v>
      </c>
      <c r="AF200" s="1506">
        <f t="shared" si="151"/>
        <v>0.27348820464987289</v>
      </c>
      <c r="AG200" s="1506">
        <f t="shared" si="152"/>
        <v>7.1140698447375542E-2</v>
      </c>
      <c r="AH200" s="1506">
        <f t="shared" si="165"/>
        <v>0</v>
      </c>
      <c r="AI200" s="1506">
        <f t="shared" si="153"/>
        <v>0.36897216546390282</v>
      </c>
      <c r="AJ200" s="1506">
        <f t="shared" si="154"/>
        <v>1</v>
      </c>
      <c r="AK200" s="1557">
        <f t="shared" si="155"/>
        <v>12567.40827690615</v>
      </c>
      <c r="AL200" s="1558">
        <f t="shared" si="156"/>
        <v>1066.0751045622951</v>
      </c>
      <c r="AM200" s="1558">
        <f t="shared" si="157"/>
        <v>54.458288054632654</v>
      </c>
      <c r="AN200" s="1558">
        <f t="shared" si="158"/>
        <v>13687.941669523078</v>
      </c>
      <c r="AO200" s="1545">
        <f t="shared" si="159"/>
        <v>0</v>
      </c>
    </row>
    <row r="201" spans="1:41">
      <c r="A201" s="873">
        <f>'Input data'!A141</f>
        <v>2041</v>
      </c>
      <c r="B201" s="1553">
        <f>'Input data'!B141</f>
        <v>71.819000000000003</v>
      </c>
      <c r="C201" s="1552">
        <f>'Input data'!C141</f>
        <v>5028.54</v>
      </c>
      <c r="D201" s="1513">
        <f>'Input data'!E141</f>
        <v>19664699.523913871</v>
      </c>
      <c r="E201" s="1510">
        <f>'Input data'!J141*C201</f>
        <v>60439.880442639384</v>
      </c>
      <c r="F201" s="1511">
        <f>'Input data'!L141</f>
        <v>80104.579966553254</v>
      </c>
      <c r="G201" s="1559">
        <f t="shared" si="171"/>
        <v>13687.941669523079</v>
      </c>
      <c r="H201" s="1511">
        <f t="shared" si="160"/>
        <v>39447.27378272971</v>
      </c>
      <c r="I201" s="1513">
        <f t="shared" si="136"/>
        <v>19664.699523913871</v>
      </c>
      <c r="J201" s="1506">
        <f t="shared" si="170"/>
        <v>0.4</v>
      </c>
      <c r="K201" s="1514">
        <f t="shared" si="162"/>
        <v>6655.5620237152089</v>
      </c>
      <c r="L201" s="1514">
        <f t="shared" si="137"/>
        <v>0</v>
      </c>
      <c r="M201" s="1513">
        <f t="shared" si="163"/>
        <v>6655.5620237152089</v>
      </c>
      <c r="N201" s="1456">
        <f t="shared" si="169"/>
        <v>0.5</v>
      </c>
      <c r="O201" s="530">
        <f t="shared" si="138"/>
        <v>751.91700000000026</v>
      </c>
      <c r="P201" s="1212">
        <f t="shared" si="166"/>
        <v>7407.4790237152092</v>
      </c>
      <c r="Q201" s="1366">
        <f t="shared" si="139"/>
        <v>45727.736428537573</v>
      </c>
      <c r="R201" s="1366">
        <f t="shared" si="164"/>
        <v>32039.794759014494</v>
      </c>
      <c r="S201" s="576">
        <f t="shared" si="140"/>
        <v>0.94432118269238108</v>
      </c>
      <c r="T201" s="135" t="str">
        <f t="shared" si="141"/>
        <v>Yes</v>
      </c>
      <c r="U201" s="1528">
        <f t="shared" si="142"/>
        <v>0.94432118269238108</v>
      </c>
      <c r="V201" s="1496">
        <f t="shared" si="134"/>
        <v>48064.785207538771</v>
      </c>
      <c r="W201" s="1529">
        <f t="shared" si="135"/>
        <v>0.39997456790101549</v>
      </c>
      <c r="X201" s="527">
        <f t="shared" si="143"/>
        <v>13687.941669523083</v>
      </c>
      <c r="Y201" s="1511">
        <f t="shared" si="144"/>
        <v>12705.793090131663</v>
      </c>
      <c r="Z201" s="1533">
        <f t="shared" si="145"/>
        <v>3483.1647930935037</v>
      </c>
      <c r="AA201" s="1533">
        <f t="shared" si="146"/>
        <v>0</v>
      </c>
      <c r="AB201" s="1533">
        <f t="shared" si="147"/>
        <v>18187.88565479052</v>
      </c>
      <c r="AC201" s="1533">
        <f t="shared" si="148"/>
        <v>48064.785207538771</v>
      </c>
      <c r="AD201" s="1005">
        <f t="shared" si="149"/>
        <v>0</v>
      </c>
      <c r="AE201" s="1456">
        <f t="shared" si="150"/>
        <v>0.2847810847467635</v>
      </c>
      <c r="AF201" s="1506">
        <f t="shared" si="151"/>
        <v>0.26434723540882088</v>
      </c>
      <c r="AG201" s="1506">
        <f t="shared" si="152"/>
        <v>7.246812355560435E-2</v>
      </c>
      <c r="AH201" s="1506">
        <f t="shared" si="165"/>
        <v>0</v>
      </c>
      <c r="AI201" s="1506">
        <f t="shared" si="153"/>
        <v>0.37840355628881123</v>
      </c>
      <c r="AJ201" s="1506">
        <f t="shared" si="154"/>
        <v>1</v>
      </c>
      <c r="AK201" s="1557">
        <f t="shared" si="155"/>
        <v>11798.819714348321</v>
      </c>
      <c r="AL201" s="1558">
        <f t="shared" si="156"/>
        <v>1796.0598126867446</v>
      </c>
      <c r="AM201" s="1558">
        <f t="shared" si="157"/>
        <v>93.062142488016335</v>
      </c>
      <c r="AN201" s="1558">
        <f t="shared" si="158"/>
        <v>13687.941669523081</v>
      </c>
      <c r="AO201" s="1545">
        <f t="shared" si="159"/>
        <v>0</v>
      </c>
    </row>
    <row r="202" spans="1:41">
      <c r="A202" s="873">
        <f>'Input data'!A142</f>
        <v>2042</v>
      </c>
      <c r="B202" s="1553">
        <f>'Input data'!B142</f>
        <v>72.265000000000001</v>
      </c>
      <c r="C202" s="1552">
        <f>'Input data'!C142</f>
        <v>5188.1000000000004</v>
      </c>
      <c r="D202" s="1513">
        <f>'Input data'!E142</f>
        <v>18383718.586317491</v>
      </c>
      <c r="E202" s="1510">
        <f>'Input data'!J142*C202</f>
        <v>62357.691044409985</v>
      </c>
      <c r="F202" s="1511">
        <f>'Input data'!L142</f>
        <v>80741.409630727474</v>
      </c>
      <c r="G202" s="1559">
        <f t="shared" si="171"/>
        <v>13687.941669523079</v>
      </c>
      <c r="H202" s="1511">
        <f t="shared" si="160"/>
        <v>39345.587702633726</v>
      </c>
      <c r="I202" s="1513">
        <f t="shared" si="136"/>
        <v>18383.718586317489</v>
      </c>
      <c r="J202" s="1506">
        <f t="shared" si="170"/>
        <v>0.4</v>
      </c>
      <c r="K202" s="1514">
        <f t="shared" si="162"/>
        <v>6222.0111285692301</v>
      </c>
      <c r="L202" s="1514">
        <f t="shared" si="137"/>
        <v>0</v>
      </c>
      <c r="M202" s="1513">
        <f t="shared" si="163"/>
        <v>6222.0111285692301</v>
      </c>
      <c r="N202" s="1456">
        <f t="shared" si="169"/>
        <v>0.5</v>
      </c>
      <c r="O202" s="530">
        <f t="shared" si="138"/>
        <v>751.91700000000026</v>
      </c>
      <c r="P202" s="1212">
        <f t="shared" si="166"/>
        <v>6973.9281285692305</v>
      </c>
      <c r="Q202" s="1366">
        <f t="shared" si="139"/>
        <v>46059.601243587575</v>
      </c>
      <c r="R202" s="1366">
        <f t="shared" si="164"/>
        <v>32371.659574064495</v>
      </c>
      <c r="S202" s="576">
        <f t="shared" si="140"/>
        <v>0.92412908051820908</v>
      </c>
      <c r="T202" s="135" t="str">
        <f t="shared" si="141"/>
        <v>Yes</v>
      </c>
      <c r="U202" s="1528">
        <f t="shared" si="142"/>
        <v>0.92412908051820908</v>
      </c>
      <c r="V202" s="1496">
        <f t="shared" si="134"/>
        <v>48369.75005666299</v>
      </c>
      <c r="W202" s="1529">
        <f t="shared" si="135"/>
        <v>0.40093007692232452</v>
      </c>
      <c r="X202" s="527">
        <f t="shared" si="143"/>
        <v>13687.941669523083</v>
      </c>
      <c r="Y202" s="1511">
        <f t="shared" si="144"/>
        <v>12346.975423268272</v>
      </c>
      <c r="Z202" s="1533">
        <f t="shared" si="145"/>
        <v>3569.829689438367</v>
      </c>
      <c r="AA202" s="1533">
        <f t="shared" si="146"/>
        <v>0</v>
      </c>
      <c r="AB202" s="1533">
        <f t="shared" si="147"/>
        <v>18765.003274433271</v>
      </c>
      <c r="AC202" s="1533">
        <f t="shared" si="148"/>
        <v>48369.75005666299</v>
      </c>
      <c r="AD202" s="1005">
        <f t="shared" si="149"/>
        <v>0</v>
      </c>
      <c r="AE202" s="1456">
        <f t="shared" si="150"/>
        <v>0.28298557783507822</v>
      </c>
      <c r="AF202" s="1506">
        <f t="shared" si="151"/>
        <v>0.25526233666298348</v>
      </c>
      <c r="AG202" s="1506">
        <f t="shared" si="152"/>
        <v>7.3802938515424868E-2</v>
      </c>
      <c r="AH202" s="1506">
        <f t="shared" si="165"/>
        <v>0</v>
      </c>
      <c r="AI202" s="1506">
        <f t="shared" si="153"/>
        <v>0.3879491469865135</v>
      </c>
      <c r="AJ202" s="1506">
        <f t="shared" si="154"/>
        <v>1</v>
      </c>
      <c r="AK202" s="1557">
        <f t="shared" si="155"/>
        <v>11030.231151790493</v>
      </c>
      <c r="AL202" s="1558">
        <f t="shared" si="156"/>
        <v>2525.0650483720647</v>
      </c>
      <c r="AM202" s="1558">
        <f t="shared" si="157"/>
        <v>132.64546936052548</v>
      </c>
      <c r="AN202" s="1558">
        <f t="shared" si="158"/>
        <v>13687.941669523081</v>
      </c>
      <c r="AO202" s="1545">
        <f t="shared" si="159"/>
        <v>0</v>
      </c>
    </row>
    <row r="203" spans="1:41">
      <c r="A203" s="873">
        <f>'Input data'!A143</f>
        <v>2043</v>
      </c>
      <c r="B203" s="1553">
        <f>'Input data'!B143</f>
        <v>72.713999999999999</v>
      </c>
      <c r="C203" s="1552">
        <f>'Input data'!C143</f>
        <v>5353.7899999999991</v>
      </c>
      <c r="D203" s="1513">
        <f>'Input data'!E143</f>
        <v>17102737.64872111</v>
      </c>
      <c r="E203" s="1510">
        <f>'Input data'!J143*C203</f>
        <v>64349.180381382714</v>
      </c>
      <c r="F203" s="1511">
        <f>'Input data'!L143</f>
        <v>81451.918030103829</v>
      </c>
      <c r="G203" s="1559">
        <f t="shared" si="171"/>
        <v>13687.941669523079</v>
      </c>
      <c r="H203" s="1511">
        <f t="shared" si="160"/>
        <v>39286.179005370126</v>
      </c>
      <c r="I203" s="1513">
        <f t="shared" si="136"/>
        <v>17102.737648721111</v>
      </c>
      <c r="J203" s="1506">
        <f t="shared" si="170"/>
        <v>0.4</v>
      </c>
      <c r="K203" s="1514">
        <f t="shared" si="162"/>
        <v>5788.4602334232513</v>
      </c>
      <c r="L203" s="1514">
        <f t="shared" si="137"/>
        <v>0</v>
      </c>
      <c r="M203" s="1513">
        <f t="shared" si="163"/>
        <v>5788.4602334232513</v>
      </c>
      <c r="N203" s="1456">
        <f t="shared" si="169"/>
        <v>0.5</v>
      </c>
      <c r="O203" s="530">
        <f t="shared" si="138"/>
        <v>751.91700000000026</v>
      </c>
      <c r="P203" s="1212">
        <f t="shared" si="166"/>
        <v>6540.3772334232517</v>
      </c>
      <c r="Q203" s="1366">
        <f t="shared" si="139"/>
        <v>46433.743441469953</v>
      </c>
      <c r="R203" s="1366">
        <f t="shared" si="164"/>
        <v>32745.801771946873</v>
      </c>
      <c r="S203" s="576">
        <f t="shared" si="140"/>
        <v>0.90527785227939028</v>
      </c>
      <c r="T203" s="135" t="str">
        <f t="shared" si="141"/>
        <v>Yes</v>
      </c>
      <c r="U203" s="1528">
        <f t="shared" si="142"/>
        <v>0.90527785227939028</v>
      </c>
      <c r="V203" s="1496">
        <f t="shared" si="134"/>
        <v>48706.116258156966</v>
      </c>
      <c r="W203" s="1529">
        <f t="shared" si="135"/>
        <v>0.40202615928386531</v>
      </c>
      <c r="X203" s="527">
        <f t="shared" si="143"/>
        <v>13687.941669523079</v>
      </c>
      <c r="Y203" s="1511">
        <f t="shared" si="144"/>
        <v>11994.057812566287</v>
      </c>
      <c r="Z203" s="1533">
        <f t="shared" si="145"/>
        <v>3659.8240907631371</v>
      </c>
      <c r="AA203" s="1533">
        <f t="shared" si="146"/>
        <v>0</v>
      </c>
      <c r="AB203" s="1533">
        <f t="shared" si="147"/>
        <v>19364.292685304463</v>
      </c>
      <c r="AC203" s="1533">
        <f t="shared" si="148"/>
        <v>48706.116258156966</v>
      </c>
      <c r="AD203" s="1005">
        <f t="shared" si="149"/>
        <v>0</v>
      </c>
      <c r="AE203" s="1456">
        <f t="shared" si="150"/>
        <v>0.28103126919364502</v>
      </c>
      <c r="AF203" s="1506">
        <f t="shared" si="151"/>
        <v>0.24625362755252744</v>
      </c>
      <c r="AG203" s="1506">
        <f t="shared" si="152"/>
        <v>7.5140955016100561E-2</v>
      </c>
      <c r="AH203" s="1506">
        <f t="shared" si="165"/>
        <v>0</v>
      </c>
      <c r="AI203" s="1506">
        <f t="shared" si="153"/>
        <v>0.39757414823772702</v>
      </c>
      <c r="AJ203" s="1506">
        <f t="shared" si="154"/>
        <v>1</v>
      </c>
      <c r="AK203" s="1557">
        <f t="shared" si="155"/>
        <v>10261.642589232666</v>
      </c>
      <c r="AL203" s="1558">
        <f t="shared" si="156"/>
        <v>3253.1325080500769</v>
      </c>
      <c r="AM203" s="1558">
        <f t="shared" si="157"/>
        <v>173.1665722403344</v>
      </c>
      <c r="AN203" s="1558">
        <f t="shared" si="158"/>
        <v>13687.941669523078</v>
      </c>
      <c r="AO203" s="1545">
        <f t="shared" si="159"/>
        <v>0</v>
      </c>
    </row>
    <row r="204" spans="1:41">
      <c r="A204" s="873">
        <f>'Input data'!A144</f>
        <v>2044</v>
      </c>
      <c r="B204" s="1553">
        <f>'Input data'!B144</f>
        <v>73.165000000000006</v>
      </c>
      <c r="C204" s="1552">
        <f>'Input data'!C144</f>
        <v>5526.5000000000018</v>
      </c>
      <c r="D204" s="1513">
        <f>'Input data'!E144</f>
        <v>15821756.711124728</v>
      </c>
      <c r="E204" s="1510">
        <f>'Input data'!J144*C204</f>
        <v>66425.045692436906</v>
      </c>
      <c r="F204" s="1511">
        <f>'Input data'!L144</f>
        <v>82246.80240356164</v>
      </c>
      <c r="G204" s="1559">
        <f t="shared" si="171"/>
        <v>13687.941669523079</v>
      </c>
      <c r="H204" s="1511">
        <f t="shared" si="160"/>
        <v>39275.18584276941</v>
      </c>
      <c r="I204" s="1513">
        <f t="shared" si="136"/>
        <v>15821.756711124728</v>
      </c>
      <c r="J204" s="1506">
        <f t="shared" si="170"/>
        <v>0.4</v>
      </c>
      <c r="K204" s="1514">
        <f t="shared" si="162"/>
        <v>5354.9093382772708</v>
      </c>
      <c r="L204" s="1514">
        <f t="shared" si="137"/>
        <v>0</v>
      </c>
      <c r="M204" s="1513">
        <f t="shared" si="163"/>
        <v>5354.9093382772708</v>
      </c>
      <c r="N204" s="1456">
        <f t="shared" si="169"/>
        <v>0.5</v>
      </c>
      <c r="O204" s="530">
        <f t="shared" si="138"/>
        <v>751.91700000000026</v>
      </c>
      <c r="P204" s="1212">
        <f t="shared" si="166"/>
        <v>6106.8263382772711</v>
      </c>
      <c r="Q204" s="1366">
        <f t="shared" si="139"/>
        <v>46856.301174015214</v>
      </c>
      <c r="R204" s="1366">
        <f t="shared" si="164"/>
        <v>33168.359504492139</v>
      </c>
      <c r="S204" s="576">
        <f t="shared" si="140"/>
        <v>0.88772689840618302</v>
      </c>
      <c r="T204" s="135" t="str">
        <f t="shared" si="141"/>
        <v>Yes</v>
      </c>
      <c r="U204" s="1528">
        <f t="shared" si="142"/>
        <v>0.88772689840618302</v>
      </c>
      <c r="V204" s="1496">
        <f t="shared" si="134"/>
        <v>49078.442899069501</v>
      </c>
      <c r="W204" s="1529">
        <f t="shared" si="135"/>
        <v>0.40327840761206057</v>
      </c>
      <c r="X204" s="527">
        <f t="shared" si="143"/>
        <v>13687.941669523076</v>
      </c>
      <c r="Y204" s="1511">
        <f t="shared" si="144"/>
        <v>11647.896873031197</v>
      </c>
      <c r="Z204" s="1533">
        <f t="shared" si="145"/>
        <v>3753.6313999115555</v>
      </c>
      <c r="AA204" s="1533">
        <f t="shared" si="146"/>
        <v>0</v>
      </c>
      <c r="AB204" s="1533">
        <f t="shared" si="147"/>
        <v>19988.972956603673</v>
      </c>
      <c r="AC204" s="1533">
        <f t="shared" si="148"/>
        <v>49078.442899069501</v>
      </c>
      <c r="AD204" s="1005">
        <f t="shared" si="149"/>
        <v>0</v>
      </c>
      <c r="AE204" s="1456">
        <f t="shared" si="150"/>
        <v>0.27889926535918258</v>
      </c>
      <c r="AF204" s="1506">
        <f t="shared" si="151"/>
        <v>0.23733224171323566</v>
      </c>
      <c r="AG204" s="1506">
        <f t="shared" si="152"/>
        <v>7.6482283833473497E-2</v>
      </c>
      <c r="AH204" s="1506">
        <f t="shared" si="165"/>
        <v>0</v>
      </c>
      <c r="AI204" s="1506">
        <f t="shared" si="153"/>
        <v>0.40728620909410823</v>
      </c>
      <c r="AJ204" s="1506">
        <f t="shared" si="154"/>
        <v>1</v>
      </c>
      <c r="AK204" s="1557">
        <f t="shared" si="155"/>
        <v>9493.0540266748358</v>
      </c>
      <c r="AL204" s="1558">
        <f t="shared" si="156"/>
        <v>3980.2905861144845</v>
      </c>
      <c r="AM204" s="1558">
        <f t="shared" si="157"/>
        <v>214.59705673375294</v>
      </c>
      <c r="AN204" s="1558">
        <f t="shared" si="158"/>
        <v>13687.941669523074</v>
      </c>
      <c r="AO204" s="1545">
        <f t="shared" si="159"/>
        <v>0</v>
      </c>
    </row>
    <row r="205" spans="1:41">
      <c r="A205" s="873">
        <f>'Input data'!A145</f>
        <v>2045</v>
      </c>
      <c r="B205" s="1553">
        <f>'Input data'!B145</f>
        <v>73.62</v>
      </c>
      <c r="C205" s="1552">
        <f>'Input data'!C145</f>
        <v>5709.93</v>
      </c>
      <c r="D205" s="1513">
        <f>'Input data'!E145</f>
        <v>14540775.773528345</v>
      </c>
      <c r="E205" s="1510">
        <f>'Input data'!J145*C205</f>
        <v>68629.758644823334</v>
      </c>
      <c r="F205" s="1511">
        <f>'Input data'!L145</f>
        <v>83170.534418351686</v>
      </c>
      <c r="G205" s="1559">
        <f t="shared" si="171"/>
        <v>13687.941669523079</v>
      </c>
      <c r="H205" s="1511">
        <f t="shared" si="160"/>
        <v>39338.126374126776</v>
      </c>
      <c r="I205" s="1513">
        <f t="shared" si="136"/>
        <v>14540.775773528345</v>
      </c>
      <c r="J205" s="1506">
        <f t="shared" si="170"/>
        <v>0.4</v>
      </c>
      <c r="K205" s="1514">
        <f t="shared" si="162"/>
        <v>4921.3584431312911</v>
      </c>
      <c r="L205" s="1514">
        <f t="shared" si="137"/>
        <v>0</v>
      </c>
      <c r="M205" s="1513">
        <f t="shared" si="163"/>
        <v>4921.3584431312911</v>
      </c>
      <c r="N205" s="1456">
        <f t="shared" si="169"/>
        <v>0.5</v>
      </c>
      <c r="O205" s="530">
        <f t="shared" si="138"/>
        <v>751.91700000000026</v>
      </c>
      <c r="P205" s="1212">
        <f t="shared" si="166"/>
        <v>5673.2754431312915</v>
      </c>
      <c r="Q205" s="1366">
        <f t="shared" si="139"/>
        <v>47352.792600518558</v>
      </c>
      <c r="R205" s="1366">
        <f t="shared" si="164"/>
        <v>33664.850930995482</v>
      </c>
      <c r="S205" s="576">
        <f t="shared" si="140"/>
        <v>0.87150683000381035</v>
      </c>
      <c r="T205" s="135" t="str">
        <f t="shared" si="141"/>
        <v>Yes</v>
      </c>
      <c r="U205" s="1528">
        <f t="shared" si="142"/>
        <v>0.87150683000381035</v>
      </c>
      <c r="V205" s="1496">
        <f t="shared" si="134"/>
        <v>49505.683487356204</v>
      </c>
      <c r="W205" s="1529">
        <f t="shared" si="135"/>
        <v>0.40476896254699657</v>
      </c>
      <c r="X205" s="527">
        <f t="shared" si="143"/>
        <v>13687.941669523078</v>
      </c>
      <c r="Y205" s="1511">
        <f t="shared" si="144"/>
        <v>11312.053813112787</v>
      </c>
      <c r="Z205" s="1533">
        <f t="shared" si="145"/>
        <v>3853.2612691553395</v>
      </c>
      <c r="AA205" s="1533">
        <f t="shared" si="146"/>
        <v>0</v>
      </c>
      <c r="AB205" s="1533">
        <f t="shared" si="147"/>
        <v>20652.426735565001</v>
      </c>
      <c r="AC205" s="1533">
        <f t="shared" si="148"/>
        <v>49505.683487356204</v>
      </c>
      <c r="AD205" s="1005">
        <f t="shared" si="149"/>
        <v>0</v>
      </c>
      <c r="AE205" s="1456">
        <f t="shared" si="150"/>
        <v>0.27649232785603273</v>
      </c>
      <c r="AF205" s="1506">
        <f t="shared" si="151"/>
        <v>0.22850010375075208</v>
      </c>
      <c r="AG205" s="1506">
        <f t="shared" si="152"/>
        <v>7.7834725181391867E-2</v>
      </c>
      <c r="AH205" s="1506">
        <f t="shared" si="165"/>
        <v>0</v>
      </c>
      <c r="AI205" s="1506">
        <f t="shared" si="153"/>
        <v>0.41717284321182335</v>
      </c>
      <c r="AJ205" s="1506">
        <f t="shared" si="154"/>
        <v>1</v>
      </c>
      <c r="AK205" s="1557">
        <f t="shared" si="155"/>
        <v>8724.4654641170055</v>
      </c>
      <c r="AL205" s="1558">
        <f t="shared" si="156"/>
        <v>4706.5178738710938</v>
      </c>
      <c r="AM205" s="1558">
        <f t="shared" si="157"/>
        <v>256.95833153497551</v>
      </c>
      <c r="AN205" s="1558">
        <f t="shared" si="158"/>
        <v>13687.941669523074</v>
      </c>
      <c r="AO205" s="1545">
        <f t="shared" si="159"/>
        <v>0</v>
      </c>
    </row>
    <row r="206" spans="1:41">
      <c r="A206" s="873">
        <f>'Input data'!A146</f>
        <v>2046</v>
      </c>
      <c r="B206" s="1553">
        <f>'Input data'!B146</f>
        <v>73.995000000000005</v>
      </c>
      <c r="C206" s="1552">
        <f>'Input data'!C146</f>
        <v>5902.43</v>
      </c>
      <c r="D206" s="1513">
        <f>'Input data'!E146</f>
        <v>13259794.835931966</v>
      </c>
      <c r="E206" s="1510">
        <f>'Input data'!J146*C206</f>
        <v>70943.487278822082</v>
      </c>
      <c r="F206" s="1511">
        <f>'Input data'!L146</f>
        <v>84203.282114754053</v>
      </c>
      <c r="G206" s="1559">
        <f t="shared" si="171"/>
        <v>13687.941669523079</v>
      </c>
      <c r="H206" s="1511">
        <f t="shared" si="160"/>
        <v>39463.620879756534</v>
      </c>
      <c r="I206" s="1513">
        <f t="shared" si="136"/>
        <v>13259.794835931965</v>
      </c>
      <c r="J206" s="1506">
        <f t="shared" si="170"/>
        <v>0.4</v>
      </c>
      <c r="K206" s="1514">
        <f t="shared" si="162"/>
        <v>4487.8075479853123</v>
      </c>
      <c r="L206" s="1514">
        <f t="shared" si="137"/>
        <v>0</v>
      </c>
      <c r="M206" s="1513">
        <f t="shared" si="163"/>
        <v>4487.8075479853123</v>
      </c>
      <c r="N206" s="1456">
        <f t="shared" si="169"/>
        <v>0.5</v>
      </c>
      <c r="O206" s="530">
        <f t="shared" si="138"/>
        <v>751.91700000000026</v>
      </c>
      <c r="P206" s="1212">
        <f t="shared" si="166"/>
        <v>5239.7245479853127</v>
      </c>
      <c r="Q206" s="1366">
        <f t="shared" si="139"/>
        <v>47911.838001294302</v>
      </c>
      <c r="R206" s="1366">
        <f t="shared" si="164"/>
        <v>34223.896331771219</v>
      </c>
      <c r="S206" s="576">
        <f t="shared" si="140"/>
        <v>0.85654043576486749</v>
      </c>
      <c r="T206" s="135" t="str">
        <f t="shared" si="141"/>
        <v>Yes</v>
      </c>
      <c r="U206" s="1528">
        <f t="shared" si="142"/>
        <v>0.85654043576486749</v>
      </c>
      <c r="V206" s="1496">
        <f t="shared" si="134"/>
        <v>49979.385782982834</v>
      </c>
      <c r="W206" s="1529">
        <f t="shared" si="135"/>
        <v>0.40644373321612515</v>
      </c>
      <c r="X206" s="527">
        <f t="shared" si="143"/>
        <v>13687.941669523087</v>
      </c>
      <c r="Y206" s="1511">
        <f t="shared" si="144"/>
        <v>10984.940526340208</v>
      </c>
      <c r="Z206" s="1533">
        <f t="shared" si="145"/>
        <v>3957.8175022111564</v>
      </c>
      <c r="AA206" s="1533">
        <f t="shared" si="146"/>
        <v>0</v>
      </c>
      <c r="AB206" s="1533">
        <f t="shared" si="147"/>
        <v>21348.686084908382</v>
      </c>
      <c r="AC206" s="1533">
        <f t="shared" si="148"/>
        <v>49979.385782982834</v>
      </c>
      <c r="AD206" s="1005">
        <f t="shared" si="149"/>
        <v>0</v>
      </c>
      <c r="AE206" s="649">
        <f t="shared" si="150"/>
        <v>0.27387174642277434</v>
      </c>
      <c r="AF206" s="417">
        <f t="shared" si="151"/>
        <v>0.21978942626542644</v>
      </c>
      <c r="AG206" s="417">
        <f t="shared" si="152"/>
        <v>7.9188998428202553E-2</v>
      </c>
      <c r="AH206" s="417">
        <f t="shared" si="165"/>
        <v>0</v>
      </c>
      <c r="AI206" s="417">
        <f t="shared" si="153"/>
        <v>0.4271498288835967</v>
      </c>
      <c r="AJ206" s="417">
        <f t="shared" si="154"/>
        <v>1</v>
      </c>
      <c r="AK206" s="1499">
        <f t="shared" si="155"/>
        <v>7955.8769015591788</v>
      </c>
      <c r="AL206" s="1500">
        <f t="shared" si="156"/>
        <v>5431.8683711103895</v>
      </c>
      <c r="AM206" s="1500">
        <f t="shared" si="157"/>
        <v>300.1963968535166</v>
      </c>
      <c r="AN206" s="1500">
        <f t="shared" si="158"/>
        <v>13687.941669523085</v>
      </c>
      <c r="AO206" s="1186">
        <f t="shared" si="159"/>
        <v>0</v>
      </c>
    </row>
    <row r="207" spans="1:41">
      <c r="A207" s="873">
        <f>'Input data'!A147</f>
        <v>2047</v>
      </c>
      <c r="B207" s="1553">
        <f>'Input data'!B147</f>
        <v>74.373000000000005</v>
      </c>
      <c r="C207" s="1552">
        <f>'Input data'!C147</f>
        <v>6104.119999999999</v>
      </c>
      <c r="D207" s="1513">
        <f>'Input data'!E147</f>
        <v>11978813.898335585</v>
      </c>
      <c r="E207" s="1510">
        <f>'Input data'!J147*C207</f>
        <v>73367.673918776389</v>
      </c>
      <c r="F207" s="1511">
        <f>'Input data'!L147</f>
        <v>85346.487817111978</v>
      </c>
      <c r="G207" s="1559">
        <f t="shared" si="171"/>
        <v>13687.941669523079</v>
      </c>
      <c r="H207" s="1511">
        <f t="shared" si="160"/>
        <v>39652.496975635833</v>
      </c>
      <c r="I207" s="1513">
        <f t="shared" si="136"/>
        <v>11978.813898335586</v>
      </c>
      <c r="J207" s="1506">
        <f t="shared" si="170"/>
        <v>0.4</v>
      </c>
      <c r="K207" s="1514">
        <f t="shared" si="162"/>
        <v>4054.2566528393327</v>
      </c>
      <c r="L207" s="1514">
        <f t="shared" si="137"/>
        <v>0</v>
      </c>
      <c r="M207" s="1513">
        <f t="shared" si="163"/>
        <v>4054.2566528393327</v>
      </c>
      <c r="N207" s="1456">
        <f t="shared" si="169"/>
        <v>0.5</v>
      </c>
      <c r="O207" s="530">
        <f t="shared" si="138"/>
        <v>751.91700000000026</v>
      </c>
      <c r="P207" s="1212">
        <f t="shared" si="166"/>
        <v>4806.173652839333</v>
      </c>
      <c r="Q207" s="1366">
        <f t="shared" si="139"/>
        <v>48534.264992319586</v>
      </c>
      <c r="R207" s="1366">
        <f t="shared" si="164"/>
        <v>34846.32332279651</v>
      </c>
      <c r="S207" s="576">
        <f t="shared" si="140"/>
        <v>0.84277802498045462</v>
      </c>
      <c r="T207" s="135" t="str">
        <f t="shared" si="141"/>
        <v>Yes</v>
      </c>
      <c r="U207" s="1528">
        <f t="shared" si="142"/>
        <v>0.84277802498045462</v>
      </c>
      <c r="V207" s="1496">
        <f t="shared" si="134"/>
        <v>50500.164494315475</v>
      </c>
      <c r="W207" s="1529">
        <f t="shared" si="135"/>
        <v>0.40829241148702333</v>
      </c>
      <c r="X207" s="527">
        <f t="shared" si="143"/>
        <v>13687.941669523076</v>
      </c>
      <c r="Y207" s="1511">
        <f t="shared" si="144"/>
        <v>10666.672511365883</v>
      </c>
      <c r="Z207" s="1533">
        <f t="shared" si="145"/>
        <v>4067.3652769905207</v>
      </c>
      <c r="AA207" s="1533">
        <f t="shared" si="146"/>
        <v>0</v>
      </c>
      <c r="AB207" s="1533">
        <f t="shared" si="147"/>
        <v>22078.185036435996</v>
      </c>
      <c r="AC207" s="1533">
        <f t="shared" si="148"/>
        <v>50500.164494315475</v>
      </c>
      <c r="AD207" s="1489">
        <f t="shared" si="149"/>
        <v>0</v>
      </c>
      <c r="AE207" s="649">
        <f t="shared" si="150"/>
        <v>0.27104746700505999</v>
      </c>
      <c r="AF207" s="417">
        <f t="shared" si="151"/>
        <v>0.21122054983734898</v>
      </c>
      <c r="AG207" s="417">
        <f t="shared" si="152"/>
        <v>8.0541624323785352E-2</v>
      </c>
      <c r="AH207" s="417">
        <f t="shared" si="165"/>
        <v>0</v>
      </c>
      <c r="AI207" s="417">
        <f t="shared" si="153"/>
        <v>0.43719035883380569</v>
      </c>
      <c r="AJ207" s="417">
        <f t="shared" si="154"/>
        <v>1</v>
      </c>
      <c r="AK207" s="1499">
        <f t="shared" si="155"/>
        <v>7187.2883390013503</v>
      </c>
      <c r="AL207" s="1500">
        <f t="shared" si="156"/>
        <v>6156.3768303570751</v>
      </c>
      <c r="AM207" s="1500">
        <f t="shared" si="157"/>
        <v>344.27650016464906</v>
      </c>
      <c r="AN207" s="1500">
        <f t="shared" si="158"/>
        <v>13687.941669523074</v>
      </c>
      <c r="AO207" s="1186">
        <f t="shared" si="159"/>
        <v>0</v>
      </c>
    </row>
    <row r="208" spans="1:41">
      <c r="A208" s="873">
        <f>'Input data'!A148</f>
        <v>2048</v>
      </c>
      <c r="B208" s="1553">
        <f>'Input data'!B148</f>
        <v>74.753</v>
      </c>
      <c r="C208" s="1552">
        <f>'Input data'!C148</f>
        <v>6308.13</v>
      </c>
      <c r="D208" s="1513">
        <f>'Input data'!E148</f>
        <v>10697832.960739207</v>
      </c>
      <c r="E208" s="1510">
        <f>'Input data'!J148*C208</f>
        <v>75819.745496033996</v>
      </c>
      <c r="F208" s="1511">
        <f>'Input data'!L148</f>
        <v>86517.578456773204</v>
      </c>
      <c r="G208" s="1559">
        <f t="shared" si="171"/>
        <v>13687.941669523079</v>
      </c>
      <c r="H208" s="1511">
        <f t="shared" si="160"/>
        <v>39857.373647073255</v>
      </c>
      <c r="I208" s="1513">
        <f t="shared" si="136"/>
        <v>10697.832960739206</v>
      </c>
      <c r="J208" s="1506">
        <f t="shared" si="170"/>
        <v>0.4</v>
      </c>
      <c r="K208" s="1514">
        <f t="shared" si="162"/>
        <v>3620.7057576933535</v>
      </c>
      <c r="L208" s="1514">
        <f t="shared" si="137"/>
        <v>0</v>
      </c>
      <c r="M208" s="1513">
        <f t="shared" si="163"/>
        <v>3620.7057576933535</v>
      </c>
      <c r="N208" s="1456">
        <f t="shared" si="169"/>
        <v>0.5</v>
      </c>
      <c r="O208" s="530">
        <f t="shared" si="138"/>
        <v>751.91700000000026</v>
      </c>
      <c r="P208" s="1212">
        <f t="shared" si="166"/>
        <v>4372.6227576933534</v>
      </c>
      <c r="Q208" s="1366">
        <f t="shared" si="139"/>
        <v>49172.692558902978</v>
      </c>
      <c r="R208" s="1366">
        <f t="shared" si="164"/>
        <v>35484.750889379895</v>
      </c>
      <c r="S208" s="576">
        <f t="shared" si="140"/>
        <v>0.82997513401691247</v>
      </c>
      <c r="T208" s="135" t="str">
        <f t="shared" si="141"/>
        <v>Yes</v>
      </c>
      <c r="U208" s="1528">
        <f t="shared" si="142"/>
        <v>0.82997513401691247</v>
      </c>
      <c r="V208" s="1496">
        <f t="shared" si="134"/>
        <v>51032.827567393309</v>
      </c>
      <c r="W208" s="1529">
        <f t="shared" si="135"/>
        <v>0.41014498466469618</v>
      </c>
      <c r="X208" s="527">
        <f t="shared" si="143"/>
        <v>13687.941669523083</v>
      </c>
      <c r="Y208" s="1511">
        <f t="shared" si="144"/>
        <v>10350.637470338455</v>
      </c>
      <c r="Z208" s="1533">
        <f t="shared" si="145"/>
        <v>4178.1731580591822</v>
      </c>
      <c r="AA208" s="1533">
        <f t="shared" si="146"/>
        <v>0</v>
      </c>
      <c r="AB208" s="1533">
        <f t="shared" si="147"/>
        <v>22816.075269472592</v>
      </c>
      <c r="AC208" s="1533">
        <f t="shared" si="148"/>
        <v>51032.827567393309</v>
      </c>
      <c r="AD208" s="1489">
        <f t="shared" si="149"/>
        <v>0</v>
      </c>
      <c r="AE208" s="649">
        <f t="shared" si="150"/>
        <v>0.2682183669217027</v>
      </c>
      <c r="AF208" s="417">
        <f t="shared" si="151"/>
        <v>0.20282312314890907</v>
      </c>
      <c r="AG208" s="417">
        <f t="shared" si="152"/>
        <v>8.1872264525055749E-2</v>
      </c>
      <c r="AH208" s="417">
        <f t="shared" si="165"/>
        <v>0</v>
      </c>
      <c r="AI208" s="417">
        <f t="shared" si="153"/>
        <v>0.44708624540433256</v>
      </c>
      <c r="AJ208" s="417">
        <f t="shared" si="154"/>
        <v>1</v>
      </c>
      <c r="AK208" s="1499">
        <f t="shared" si="155"/>
        <v>6418.6997764435237</v>
      </c>
      <c r="AL208" s="1500">
        <f t="shared" si="156"/>
        <v>6880.2142237840762</v>
      </c>
      <c r="AM208" s="1500">
        <f t="shared" si="157"/>
        <v>389.02766929548244</v>
      </c>
      <c r="AN208" s="1500">
        <f t="shared" si="158"/>
        <v>13687.941669523083</v>
      </c>
      <c r="AO208" s="1186">
        <f t="shared" si="159"/>
        <v>0</v>
      </c>
    </row>
    <row r="209" spans="1:41">
      <c r="A209" s="873">
        <f>'Input data'!A149</f>
        <v>2049</v>
      </c>
      <c r="B209" s="1553">
        <f>'Input data'!B149</f>
        <v>75.134</v>
      </c>
      <c r="C209" s="1552">
        <f>'Input data'!C149</f>
        <v>6522.2000000000007</v>
      </c>
      <c r="D209" s="1513">
        <f>'Input data'!E149</f>
        <v>9416852.0231428221</v>
      </c>
      <c r="E209" s="1510">
        <f>'Input data'!J149*C209</f>
        <v>78392.731930735885</v>
      </c>
      <c r="F209" s="1511">
        <f>'Input data'!L149</f>
        <v>87809.583953878711</v>
      </c>
      <c r="G209" s="1559">
        <f t="shared" si="171"/>
        <v>13687.941669523079</v>
      </c>
      <c r="H209" s="1511">
        <f t="shared" si="160"/>
        <v>40131.632124594486</v>
      </c>
      <c r="I209" s="1513">
        <f t="shared" si="136"/>
        <v>9416.8520231428229</v>
      </c>
      <c r="J209" s="1506">
        <f t="shared" si="170"/>
        <v>0.4</v>
      </c>
      <c r="K209" s="1514">
        <f t="shared" si="162"/>
        <v>3187.1548625473733</v>
      </c>
      <c r="L209" s="1514">
        <f t="shared" si="137"/>
        <v>0</v>
      </c>
      <c r="M209" s="1513">
        <f t="shared" si="163"/>
        <v>3187.1548625473733</v>
      </c>
      <c r="N209" s="1456">
        <f t="shared" si="169"/>
        <v>0.5</v>
      </c>
      <c r="O209" s="530">
        <f t="shared" si="138"/>
        <v>751.91700000000026</v>
      </c>
      <c r="P209" s="1212">
        <f t="shared" si="166"/>
        <v>3939.0718625473737</v>
      </c>
      <c r="Q209" s="1366">
        <f t="shared" si="139"/>
        <v>49880.501931570187</v>
      </c>
      <c r="R209" s="1366">
        <f t="shared" si="164"/>
        <v>36192.560262047104</v>
      </c>
      <c r="S209" s="576">
        <f t="shared" si="140"/>
        <v>0.81827358236689396</v>
      </c>
      <c r="T209" s="135" t="str">
        <f t="shared" si="141"/>
        <v>Yes</v>
      </c>
      <c r="U209" s="1528">
        <f t="shared" si="142"/>
        <v>0.81827358236689396</v>
      </c>
      <c r="V209" s="1496">
        <f t="shared" si="134"/>
        <v>51617.023691831622</v>
      </c>
      <c r="W209" s="1529">
        <f t="shared" si="135"/>
        <v>0.41217095711394036</v>
      </c>
      <c r="X209" s="527">
        <f t="shared" si="143"/>
        <v>13687.941669523083</v>
      </c>
      <c r="Y209" s="1511">
        <f t="shared" si="144"/>
        <v>10044.285066339367</v>
      </c>
      <c r="Z209" s="1533">
        <f t="shared" si="145"/>
        <v>4294.4451207098782</v>
      </c>
      <c r="AA209" s="1533">
        <f t="shared" si="146"/>
        <v>0</v>
      </c>
      <c r="AB209" s="1533">
        <f t="shared" si="147"/>
        <v>23590.351835259287</v>
      </c>
      <c r="AC209" s="1533">
        <f t="shared" si="148"/>
        <v>51617.023691831622</v>
      </c>
      <c r="AD209" s="1489">
        <f t="shared" si="149"/>
        <v>0</v>
      </c>
      <c r="AE209" s="649">
        <f t="shared" si="150"/>
        <v>0.26518269924364501</v>
      </c>
      <c r="AF209" s="417">
        <f t="shared" si="151"/>
        <v>0.19459248805794419</v>
      </c>
      <c r="AG209" s="417">
        <f t="shared" si="152"/>
        <v>8.3198232163654809E-2</v>
      </c>
      <c r="AH209" s="417">
        <f t="shared" si="165"/>
        <v>0</v>
      </c>
      <c r="AI209" s="417">
        <f t="shared" si="153"/>
        <v>0.45702658053475587</v>
      </c>
      <c r="AJ209" s="417">
        <f t="shared" si="154"/>
        <v>0.99999999999999989</v>
      </c>
      <c r="AK209" s="1499">
        <f t="shared" si="155"/>
        <v>5650.1112138856934</v>
      </c>
      <c r="AL209" s="1500">
        <f t="shared" si="156"/>
        <v>7603.2813661405662</v>
      </c>
      <c r="AM209" s="1500">
        <f t="shared" si="157"/>
        <v>434.54908949682107</v>
      </c>
      <c r="AN209" s="1500">
        <f t="shared" si="158"/>
        <v>13687.941669523079</v>
      </c>
      <c r="AO209" s="1186">
        <f t="shared" si="159"/>
        <v>0</v>
      </c>
    </row>
    <row r="210" spans="1:41" ht="15" thickBot="1">
      <c r="A210" s="172">
        <f>'Input data'!A150</f>
        <v>2050</v>
      </c>
      <c r="B210" s="664">
        <f>'Input data'!B150</f>
        <v>75.518000000000001</v>
      </c>
      <c r="C210" s="239">
        <f>'Input data'!C150</f>
        <v>6747.1300000000019</v>
      </c>
      <c r="D210" s="1522">
        <f>'Input data'!E150</f>
        <v>8135871.0855464395</v>
      </c>
      <c r="E210" s="670">
        <f>'Input data'!J150*C210</f>
        <v>81096.248718503892</v>
      </c>
      <c r="F210" s="667">
        <f>'Input data'!L150</f>
        <v>89232.119804050337</v>
      </c>
      <c r="G210" s="1477">
        <f t="shared" si="171"/>
        <v>13687.941669523079</v>
      </c>
      <c r="H210" s="1520">
        <f t="shared" si="160"/>
        <v>40480.789848047149</v>
      </c>
      <c r="I210" s="1522">
        <f t="shared" si="136"/>
        <v>8135.8710855464396</v>
      </c>
      <c r="J210" s="651">
        <f t="shared" si="170"/>
        <v>0.4</v>
      </c>
      <c r="K210" s="1520">
        <f t="shared" si="162"/>
        <v>2753.6039674013932</v>
      </c>
      <c r="L210" s="1520">
        <f t="shared" si="137"/>
        <v>0</v>
      </c>
      <c r="M210" s="1522">
        <f t="shared" si="163"/>
        <v>2753.6039674013932</v>
      </c>
      <c r="N210" s="650">
        <f t="shared" si="169"/>
        <v>0.5</v>
      </c>
      <c r="O210" s="659">
        <f t="shared" si="138"/>
        <v>751.91700000000026</v>
      </c>
      <c r="P210" s="1701">
        <f t="shared" si="166"/>
        <v>3505.5209674013936</v>
      </c>
      <c r="Q210" s="1487">
        <f t="shared" si="139"/>
        <v>50663.210550168835</v>
      </c>
      <c r="R210" s="1487">
        <f t="shared" si="164"/>
        <v>36975.268880645759</v>
      </c>
      <c r="S210" s="578">
        <f t="shared" si="140"/>
        <v>0.80764319922730154</v>
      </c>
      <c r="T210" s="1105" t="str">
        <f t="shared" si="141"/>
        <v>Yes</v>
      </c>
      <c r="U210" s="1530">
        <f t="shared" si="142"/>
        <v>0.80764319922730154</v>
      </c>
      <c r="V210" s="1497">
        <f t="shared" si="134"/>
        <v>52256.850923404578</v>
      </c>
      <c r="W210" s="1531">
        <f t="shared" si="135"/>
        <v>0.41437174149669154</v>
      </c>
      <c r="X210" s="670">
        <f t="shared" si="143"/>
        <v>13687.941669523076</v>
      </c>
      <c r="Y210" s="1520">
        <f t="shared" si="144"/>
        <v>9748.385290384791</v>
      </c>
      <c r="Z210" s="1534">
        <f t="shared" si="145"/>
        <v>4416.6156843527096</v>
      </c>
      <c r="AA210" s="1534">
        <f t="shared" si="146"/>
        <v>0</v>
      </c>
      <c r="AB210" s="1534">
        <f t="shared" si="147"/>
        <v>24403.908279144001</v>
      </c>
      <c r="AC210" s="1534">
        <f t="shared" si="148"/>
        <v>52256.850923404578</v>
      </c>
      <c r="AD210" s="1490">
        <f t="shared" si="149"/>
        <v>0</v>
      </c>
      <c r="AE210" s="650">
        <f t="shared" si="150"/>
        <v>0.26193583095135531</v>
      </c>
      <c r="AF210" s="651">
        <f t="shared" si="151"/>
        <v>0.18654750751577961</v>
      </c>
      <c r="AG210" s="651">
        <f t="shared" si="152"/>
        <v>8.4517448072528506E-2</v>
      </c>
      <c r="AH210" s="651">
        <f t="shared" si="165"/>
        <v>0</v>
      </c>
      <c r="AI210" s="651">
        <f>AB210/AC210</f>
        <v>0.46699921346033657</v>
      </c>
      <c r="AJ210" s="651">
        <f t="shared" si="154"/>
        <v>1</v>
      </c>
      <c r="AK210" s="1501">
        <f t="shared" si="155"/>
        <v>4881.5226513278631</v>
      </c>
      <c r="AL210" s="1502">
        <f t="shared" si="156"/>
        <v>8325.5993581836865</v>
      </c>
      <c r="AM210" s="1502">
        <f t="shared" si="157"/>
        <v>480.81966001152483</v>
      </c>
      <c r="AN210" s="1502">
        <f t="shared" si="158"/>
        <v>13687.941669523074</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6">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2">
      <c r="A4" s="349" t="s">
        <v>352</v>
      </c>
      <c r="B4" s="349"/>
      <c r="C4" s="349" t="s">
        <v>353</v>
      </c>
      <c r="D4" s="350" t="s">
        <v>381</v>
      </c>
      <c r="E4" s="351" t="s">
        <v>382</v>
      </c>
      <c r="F4" s="352" t="s">
        <v>383</v>
      </c>
      <c r="G4" s="352"/>
      <c r="H4" s="352"/>
      <c r="I4" s="351" t="s">
        <v>384</v>
      </c>
      <c r="J4" s="1940" t="s">
        <v>545</v>
      </c>
      <c r="K4" s="1939" t="s">
        <v>546</v>
      </c>
      <c r="L4" s="1939" t="s">
        <v>547</v>
      </c>
      <c r="M4" s="1939" t="s">
        <v>548</v>
      </c>
      <c r="N4" s="1939" t="s">
        <v>498</v>
      </c>
      <c r="O4" s="1939"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0" t="s">
        <v>355</v>
      </c>
      <c r="K5" s="1939"/>
      <c r="L5" s="1939"/>
      <c r="M5" s="1939"/>
      <c r="N5" s="1939"/>
      <c r="O5" s="1939"/>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6">
      <c r="A6" s="1935"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6">
      <c r="A7" s="1935"/>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6">
      <c r="A8" s="1935"/>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6"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6"/>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6"/>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6">
      <c r="A12" s="1936"/>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6"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6"/>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28.8">
      <c r="A15" s="1936"/>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6">
      <c r="A16" s="1936"/>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6">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6">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6">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6">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6">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6">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6">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6">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6">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6">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6">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6">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6">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6">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6">
      <c r="A31" s="373">
        <v>2017</v>
      </c>
      <c r="B31" s="1407">
        <f>'Input data'!C117</f>
        <v>3120.54</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6">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6">
      <c r="A33" s="1937" t="s">
        <v>392</v>
      </c>
      <c r="B33" s="1937"/>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6">
      <c r="A34" s="374">
        <v>2017</v>
      </c>
      <c r="B34" s="375">
        <f>($J$19/1000)/(B31)</f>
        <v>28.04065142078467</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6">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6">
      <c r="A36" s="374">
        <v>2017</v>
      </c>
      <c r="B36" s="375">
        <f>J23/1000/B31</f>
        <v>12.019369527266241</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6">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6">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8"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8"/>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8"/>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8"/>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8"/>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6">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6">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6">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6">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6">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6">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6">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6">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6">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6">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6">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6">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6">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6">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15.6">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6">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6">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6">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6">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6">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6">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6">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6">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6">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6">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6">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6">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6">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6">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6">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6">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6">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28.8">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28.8">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6">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00000000000006"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6">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 thickBot="1"/>
    <row r="112" spans="2:20" ht="1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39.6">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14"/>
    <col min="56" max="56" width="8.88671875" style="1078"/>
    <col min="57" max="57" width="11.33203125" customWidth="1"/>
    <col min="59" max="59" width="12.33203125" customWidth="1"/>
    <col min="61" max="62" width="11.33203125" customWidth="1"/>
    <col min="63" max="63" width="11.33203125" style="1078" customWidth="1"/>
    <col min="64" max="64" width="11.33203125" customWidth="1"/>
    <col min="66" max="66" width="12.332031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 thickBot="1">
      <c r="A14" s="152" t="s">
        <v>728</v>
      </c>
      <c r="B14" s="163"/>
      <c r="C14" s="163"/>
      <c r="D14" s="683">
        <f>'Waste Summary 2017 SASOW'!$L$26</f>
        <v>6.9875113374971584E-2</v>
      </c>
      <c r="E14" s="140"/>
      <c r="F14" s="104"/>
      <c r="X14" s="1" t="s">
        <v>643</v>
      </c>
      <c r="AH14" s="1" t="s">
        <v>641</v>
      </c>
      <c r="BB14" s="314" t="s">
        <v>643</v>
      </c>
      <c r="BI14" t="s">
        <v>641</v>
      </c>
    </row>
    <row r="15" spans="1:66" ht="1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8" t="s">
        <v>319</v>
      </c>
      <c r="BC15" s="1749"/>
      <c r="BD15" s="1749"/>
      <c r="BE15" s="1749"/>
      <c r="BF15" s="1749"/>
      <c r="BG15" s="1750"/>
      <c r="BI15" s="1748" t="s">
        <v>319</v>
      </c>
      <c r="BJ15" s="1749"/>
      <c r="BK15" s="1749"/>
      <c r="BL15" s="1749"/>
      <c r="BM15" s="1749"/>
      <c r="BN15" s="1750"/>
    </row>
    <row r="16" spans="1:66" ht="57.6">
      <c r="A16" s="1956" t="s">
        <v>217</v>
      </c>
      <c r="B16" s="1959" t="s">
        <v>218</v>
      </c>
      <c r="C16" s="1959" t="s">
        <v>219</v>
      </c>
      <c r="D16" s="1956"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2.8">
      <c r="A17" s="1957"/>
      <c r="B17" s="1960"/>
      <c r="C17" s="1960"/>
      <c r="D17" s="1957"/>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 thickBot="1">
      <c r="A18" s="195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2012.0587935538863</v>
      </c>
      <c r="Y31" s="907">
        <f>Parameters!S132</f>
        <v>0.71500000000000008</v>
      </c>
      <c r="Z31" s="907">
        <f t="shared" si="9"/>
        <v>0.4</v>
      </c>
      <c r="AA31" s="906">
        <f t="shared" si="10"/>
        <v>287.72440747820582</v>
      </c>
      <c r="AB31" s="906">
        <f t="shared" si="11"/>
        <v>287.72440747820582</v>
      </c>
      <c r="AC31" s="286">
        <f t="shared" si="12"/>
        <v>0</v>
      </c>
      <c r="AD31" s="906">
        <f t="shared" si="13"/>
        <v>287.72440747820582</v>
      </c>
      <c r="AE31" s="906">
        <f t="shared" si="14"/>
        <v>0</v>
      </c>
      <c r="AF31" s="1072">
        <f t="shared" si="15"/>
        <v>0</v>
      </c>
      <c r="AG31" s="1448">
        <f t="shared" si="16"/>
        <v>0.13527885904981399</v>
      </c>
      <c r="AH31" s="914">
        <f>'Baseline data (from input)'!AS17*AG31</f>
        <v>2012.0587935538863</v>
      </c>
      <c r="AI31" s="907">
        <f>Parameters!S132</f>
        <v>0.71500000000000008</v>
      </c>
      <c r="AJ31" s="907">
        <f t="shared" si="17"/>
        <v>0.4</v>
      </c>
      <c r="AK31" s="906">
        <f t="shared" si="18"/>
        <v>287.72440747820582</v>
      </c>
      <c r="AL31" s="906">
        <f t="shared" si="19"/>
        <v>287.72440747820582</v>
      </c>
      <c r="AM31" s="286">
        <f t="shared" si="20"/>
        <v>0</v>
      </c>
      <c r="AN31" s="906">
        <f t="shared" si="21"/>
        <v>287.72440747820582</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2136.3614336223122</v>
      </c>
      <c r="Y32" s="907">
        <f>Parameters!S133</f>
        <v>0.71500000000000008</v>
      </c>
      <c r="Z32" s="907">
        <f t="shared" si="9"/>
        <v>0.4</v>
      </c>
      <c r="AA32" s="906">
        <f t="shared" si="10"/>
        <v>305.49968500799071</v>
      </c>
      <c r="AB32" s="906">
        <f t="shared" si="11"/>
        <v>305.49968500799071</v>
      </c>
      <c r="AC32" s="286">
        <f t="shared" si="12"/>
        <v>0</v>
      </c>
      <c r="AD32" s="906">
        <f t="shared" si="13"/>
        <v>579.1916075482934</v>
      </c>
      <c r="AE32" s="906">
        <f t="shared" si="14"/>
        <v>14.032484937903162</v>
      </c>
      <c r="AF32" s="1072">
        <f t="shared" si="15"/>
        <v>9.3549899586021077</v>
      </c>
      <c r="AG32" s="1448">
        <f t="shared" si="16"/>
        <v>0.13527885904981399</v>
      </c>
      <c r="AH32" s="914">
        <f>'Baseline data (from input)'!AS18*AG32</f>
        <v>2136.3614336223122</v>
      </c>
      <c r="AI32" s="907">
        <f>Parameters!S133</f>
        <v>0.71500000000000008</v>
      </c>
      <c r="AJ32" s="907">
        <f t="shared" si="17"/>
        <v>0.4</v>
      </c>
      <c r="AK32" s="906">
        <f t="shared" si="18"/>
        <v>305.49968500799071</v>
      </c>
      <c r="AL32" s="906">
        <f t="shared" si="19"/>
        <v>305.49968500799071</v>
      </c>
      <c r="AM32" s="286">
        <f t="shared" si="20"/>
        <v>0</v>
      </c>
      <c r="AN32" s="906">
        <f t="shared" si="21"/>
        <v>579.1916075482934</v>
      </c>
      <c r="AO32" s="906">
        <f t="shared" si="22"/>
        <v>14.032484937903162</v>
      </c>
      <c r="AP32" s="1072">
        <f t="shared" si="23"/>
        <v>9.3549899586021077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9.3549899586021077</v>
      </c>
      <c r="BD32" s="1080">
        <f t="shared" si="33"/>
        <v>0</v>
      </c>
      <c r="BE32" s="301">
        <f t="shared" si="34"/>
        <v>49.339526531707875</v>
      </c>
      <c r="BF32" s="104">
        <v>0</v>
      </c>
      <c r="BG32" s="302">
        <f t="shared" si="35"/>
        <v>49.339526531707875</v>
      </c>
      <c r="BI32" s="300">
        <f t="shared" si="36"/>
        <v>39.984536573105771</v>
      </c>
      <c r="BJ32" s="301">
        <f t="shared" si="37"/>
        <v>9.3549899586021077</v>
      </c>
      <c r="BK32" s="1080">
        <f t="shared" si="38"/>
        <v>0</v>
      </c>
      <c r="BL32" s="301">
        <f t="shared" si="39"/>
        <v>49.339526531707875</v>
      </c>
      <c r="BM32" s="104">
        <v>0</v>
      </c>
      <c r="BN32" s="302">
        <f t="shared" si="40"/>
        <v>49.339526531707875</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2293.8884534256958</v>
      </c>
      <c r="Y33" s="907">
        <f>Parameters!S134</f>
        <v>0.71500000000000008</v>
      </c>
      <c r="Z33" s="907">
        <f t="shared" si="9"/>
        <v>0.4</v>
      </c>
      <c r="AA33" s="906">
        <f t="shared" si="10"/>
        <v>328.02604883987453</v>
      </c>
      <c r="AB33" s="906">
        <f t="shared" si="11"/>
        <v>328.02604883987453</v>
      </c>
      <c r="AC33" s="286">
        <f t="shared" si="12"/>
        <v>0</v>
      </c>
      <c r="AD33" s="906">
        <f t="shared" si="13"/>
        <v>878.97014836368112</v>
      </c>
      <c r="AE33" s="906">
        <f t="shared" si="14"/>
        <v>28.247508024486862</v>
      </c>
      <c r="AF33" s="1072">
        <f t="shared" si="15"/>
        <v>18.831672016324575</v>
      </c>
      <c r="AG33" s="1448">
        <f t="shared" si="16"/>
        <v>0.13527885904981399</v>
      </c>
      <c r="AH33" s="914">
        <f>'Baseline data (from input)'!AS19*AG33</f>
        <v>2293.8884534256958</v>
      </c>
      <c r="AI33" s="907">
        <f>Parameters!S134</f>
        <v>0.71500000000000008</v>
      </c>
      <c r="AJ33" s="907">
        <f t="shared" si="17"/>
        <v>0.4</v>
      </c>
      <c r="AK33" s="906">
        <f t="shared" si="18"/>
        <v>328.02604883987453</v>
      </c>
      <c r="AL33" s="906">
        <f t="shared" si="19"/>
        <v>328.02604883987453</v>
      </c>
      <c r="AM33" s="286">
        <f t="shared" si="20"/>
        <v>0</v>
      </c>
      <c r="AN33" s="906">
        <f t="shared" si="21"/>
        <v>878.97014836368112</v>
      </c>
      <c r="AO33" s="906">
        <f t="shared" si="22"/>
        <v>28.247508024486862</v>
      </c>
      <c r="AP33" s="1072">
        <f t="shared" si="23"/>
        <v>18.831672016324575</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18.831672016324575</v>
      </c>
      <c r="BD33" s="1080">
        <f t="shared" si="33"/>
        <v>0</v>
      </c>
      <c r="BE33" s="301">
        <f t="shared" si="34"/>
        <v>62.066662898982408</v>
      </c>
      <c r="BF33" s="104">
        <v>0</v>
      </c>
      <c r="BG33" s="302">
        <f t="shared" si="35"/>
        <v>62.066662898982408</v>
      </c>
      <c r="BI33" s="300">
        <f t="shared" si="36"/>
        <v>43.234990882657833</v>
      </c>
      <c r="BJ33" s="301">
        <f t="shared" si="37"/>
        <v>18.831672016324575</v>
      </c>
      <c r="BK33" s="1080">
        <f t="shared" si="38"/>
        <v>0</v>
      </c>
      <c r="BL33" s="301">
        <f t="shared" si="39"/>
        <v>62.066662898982408</v>
      </c>
      <c r="BM33" s="104">
        <v>0</v>
      </c>
      <c r="BN33" s="302">
        <f t="shared" si="40"/>
        <v>62.066662898982408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2476.0181883580972</v>
      </c>
      <c r="Y34" s="907">
        <f>Parameters!S135</f>
        <v>0.71500000000000008</v>
      </c>
      <c r="Z34" s="907">
        <f t="shared" si="9"/>
        <v>0.4</v>
      </c>
      <c r="AA34" s="906">
        <f t="shared" si="10"/>
        <v>354.07060093520795</v>
      </c>
      <c r="AB34" s="906">
        <f t="shared" si="11"/>
        <v>354.07060093520795</v>
      </c>
      <c r="AC34" s="286">
        <f t="shared" si="12"/>
        <v>0</v>
      </c>
      <c r="AD34" s="906">
        <f t="shared" si="13"/>
        <v>1190.1728693164996</v>
      </c>
      <c r="AE34" s="906">
        <f t="shared" si="14"/>
        <v>42.86787998238951</v>
      </c>
      <c r="AF34" s="1072">
        <f t="shared" si="15"/>
        <v>28.57858665492634</v>
      </c>
      <c r="AG34" s="1448">
        <f t="shared" si="16"/>
        <v>0.13527885904981399</v>
      </c>
      <c r="AH34" s="914">
        <f>'Baseline data (from input)'!AS20*AG34</f>
        <v>2476.0181883580972</v>
      </c>
      <c r="AI34" s="907">
        <f>Parameters!S135</f>
        <v>0.71500000000000008</v>
      </c>
      <c r="AJ34" s="907">
        <f t="shared" si="17"/>
        <v>0.4</v>
      </c>
      <c r="AK34" s="906">
        <f t="shared" si="18"/>
        <v>354.07060093520795</v>
      </c>
      <c r="AL34" s="906">
        <f t="shared" si="19"/>
        <v>354.07060093520795</v>
      </c>
      <c r="AM34" s="286">
        <f t="shared" si="20"/>
        <v>0</v>
      </c>
      <c r="AN34" s="906">
        <f t="shared" si="21"/>
        <v>1190.1728693164996</v>
      </c>
      <c r="AO34" s="906">
        <f t="shared" si="22"/>
        <v>42.86787998238951</v>
      </c>
      <c r="AP34" s="1072">
        <f t="shared" si="23"/>
        <v>28.57858665492634</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28.57858665492634</v>
      </c>
      <c r="BD34" s="1080">
        <f t="shared" si="33"/>
        <v>0</v>
      </c>
      <c r="BE34" s="301">
        <f t="shared" si="34"/>
        <v>75.041973752294751</v>
      </c>
      <c r="BF34" s="104">
        <v>0</v>
      </c>
      <c r="BG34" s="302">
        <f t="shared" si="35"/>
        <v>75.041973752294751</v>
      </c>
      <c r="BI34" s="300">
        <f t="shared" si="36"/>
        <v>46.463387097368418</v>
      </c>
      <c r="BJ34" s="301">
        <f t="shared" si="37"/>
        <v>28.57858665492634</v>
      </c>
      <c r="BK34" s="1080">
        <f t="shared" si="38"/>
        <v>0</v>
      </c>
      <c r="BL34" s="301">
        <f t="shared" si="39"/>
        <v>75.041973752294751</v>
      </c>
      <c r="BM34" s="104">
        <v>0</v>
      </c>
      <c r="BN34" s="302">
        <f t="shared" si="40"/>
        <v>75.041973752294751</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2627.6188600642822</v>
      </c>
      <c r="Y35" s="907">
        <f>Parameters!S136</f>
        <v>0.71500000000000008</v>
      </c>
      <c r="Z35" s="907">
        <f t="shared" si="9"/>
        <v>0.4</v>
      </c>
      <c r="AA35" s="906">
        <f t="shared" si="10"/>
        <v>375.74949698919244</v>
      </c>
      <c r="AB35" s="906">
        <f t="shared" si="11"/>
        <v>375.74949698919244</v>
      </c>
      <c r="AC35" s="286">
        <f t="shared" si="12"/>
        <v>0</v>
      </c>
      <c r="AD35" s="906">
        <f t="shared" si="13"/>
        <v>1507.87695052549</v>
      </c>
      <c r="AE35" s="906">
        <f t="shared" si="14"/>
        <v>58.045415780202177</v>
      </c>
      <c r="AF35" s="1072">
        <f t="shared" si="15"/>
        <v>38.69694385346812</v>
      </c>
      <c r="AG35" s="1448">
        <f t="shared" si="16"/>
        <v>0.13527885904981399</v>
      </c>
      <c r="AH35" s="914">
        <f>'Baseline data (from input)'!AS21*AG35</f>
        <v>2627.6188600642822</v>
      </c>
      <c r="AI35" s="907">
        <f>Parameters!S136</f>
        <v>0.71500000000000008</v>
      </c>
      <c r="AJ35" s="907">
        <f t="shared" si="17"/>
        <v>0.4</v>
      </c>
      <c r="AK35" s="906">
        <f t="shared" si="18"/>
        <v>375.74949698919244</v>
      </c>
      <c r="AL35" s="906">
        <f t="shared" si="19"/>
        <v>375.74949698919244</v>
      </c>
      <c r="AM35" s="286">
        <f t="shared" si="20"/>
        <v>0</v>
      </c>
      <c r="AN35" s="906">
        <f t="shared" si="21"/>
        <v>1507.87695052549</v>
      </c>
      <c r="AO35" s="906">
        <f t="shared" si="22"/>
        <v>58.045415780202177</v>
      </c>
      <c r="AP35" s="1072">
        <f t="shared" si="23"/>
        <v>38.69694385346812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38.69694385346812</v>
      </c>
      <c r="BD35" s="1080">
        <f t="shared" si="33"/>
        <v>0</v>
      </c>
      <c r="BE35" s="301">
        <f t="shared" si="34"/>
        <v>88.367744856685505</v>
      </c>
      <c r="BF35" s="104">
        <v>0</v>
      </c>
      <c r="BG35" s="302">
        <f t="shared" si="35"/>
        <v>88.367744856685505</v>
      </c>
      <c r="BI35" s="300">
        <f t="shared" si="36"/>
        <v>49.670801003217377</v>
      </c>
      <c r="BJ35" s="301">
        <f t="shared" si="37"/>
        <v>38.69694385346812</v>
      </c>
      <c r="BK35" s="1080">
        <f t="shared" si="38"/>
        <v>0</v>
      </c>
      <c r="BL35" s="301">
        <f t="shared" si="39"/>
        <v>88.367744856685505</v>
      </c>
      <c r="BM35" s="104">
        <v>0</v>
      </c>
      <c r="BN35" s="302">
        <f t="shared" si="40"/>
        <v>88.367744856685505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2744.2406851557662</v>
      </c>
      <c r="Y36" s="907">
        <f>Parameters!S137</f>
        <v>0.71500000000000008</v>
      </c>
      <c r="Z36" s="907">
        <f t="shared" si="9"/>
        <v>0.4</v>
      </c>
      <c r="AA36" s="906">
        <f t="shared" si="10"/>
        <v>392.42641797727458</v>
      </c>
      <c r="AB36" s="906">
        <f t="shared" si="11"/>
        <v>392.42641797727458</v>
      </c>
      <c r="AC36" s="286">
        <f t="shared" si="12"/>
        <v>0</v>
      </c>
      <c r="AD36" s="906">
        <f t="shared" si="13"/>
        <v>1826.763341843528</v>
      </c>
      <c r="AE36" s="906">
        <f t="shared" si="14"/>
        <v>73.540026659236531</v>
      </c>
      <c r="AF36" s="1072">
        <f t="shared" si="15"/>
        <v>49.026684439491021</v>
      </c>
      <c r="AG36" s="1448">
        <f t="shared" si="16"/>
        <v>0.13527885904981399</v>
      </c>
      <c r="AH36" s="914">
        <f>'Baseline data (from input)'!AS22*AG36</f>
        <v>2744.2406851557662</v>
      </c>
      <c r="AI36" s="907">
        <f>Parameters!S137</f>
        <v>0.71500000000000008</v>
      </c>
      <c r="AJ36" s="907">
        <f t="shared" si="17"/>
        <v>0.4</v>
      </c>
      <c r="AK36" s="906">
        <f t="shared" si="18"/>
        <v>392.42641797727458</v>
      </c>
      <c r="AL36" s="906">
        <f t="shared" si="19"/>
        <v>392.42641797727458</v>
      </c>
      <c r="AM36" s="286">
        <f t="shared" si="20"/>
        <v>0</v>
      </c>
      <c r="AN36" s="906">
        <f t="shared" si="21"/>
        <v>1826.763341843528</v>
      </c>
      <c r="AO36" s="906">
        <f t="shared" si="22"/>
        <v>73.540026659236531</v>
      </c>
      <c r="AP36" s="1072">
        <f t="shared" si="23"/>
        <v>49.026684439491021</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49.026684439491021</v>
      </c>
      <c r="BD36" s="1080">
        <f t="shared" si="33"/>
        <v>0</v>
      </c>
      <c r="BE36" s="301">
        <f t="shared" si="34"/>
        <v>101.88494035897421</v>
      </c>
      <c r="BF36" s="104">
        <v>0</v>
      </c>
      <c r="BG36" s="302">
        <f t="shared" si="35"/>
        <v>101.88494035897421</v>
      </c>
      <c r="BI36" s="300">
        <f t="shared" si="36"/>
        <v>52.858255919483177</v>
      </c>
      <c r="BJ36" s="301">
        <f t="shared" si="37"/>
        <v>49.026684439491021</v>
      </c>
      <c r="BK36" s="1080">
        <f t="shared" si="38"/>
        <v>0</v>
      </c>
      <c r="BL36" s="301">
        <f t="shared" si="39"/>
        <v>101.88494035897421</v>
      </c>
      <c r="BM36" s="104">
        <v>0</v>
      </c>
      <c r="BN36" s="302">
        <f t="shared" si="40"/>
        <v>101.88494035897421</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2941.7320500668197</v>
      </c>
      <c r="Y37" s="907">
        <f>Parameters!S138</f>
        <v>0.71500000000000008</v>
      </c>
      <c r="Z37" s="907">
        <f t="shared" si="9"/>
        <v>0.4</v>
      </c>
      <c r="AA37" s="906">
        <f t="shared" si="10"/>
        <v>420.66768315955528</v>
      </c>
      <c r="AB37" s="906">
        <f t="shared" si="11"/>
        <v>420.66768315955528</v>
      </c>
      <c r="AC37" s="286">
        <f t="shared" si="12"/>
        <v>0</v>
      </c>
      <c r="AD37" s="906">
        <f t="shared" si="13"/>
        <v>2158.3387255203752</v>
      </c>
      <c r="AE37" s="906">
        <f t="shared" si="14"/>
        <v>89.092299482707759</v>
      </c>
      <c r="AF37" s="1072">
        <f t="shared" si="15"/>
        <v>59.394866321805175</v>
      </c>
      <c r="AG37" s="1448">
        <f t="shared" si="16"/>
        <v>0.13527885904981399</v>
      </c>
      <c r="AH37" s="914">
        <f>'Baseline data (from input)'!AS23*AG37</f>
        <v>2941.7320500668197</v>
      </c>
      <c r="AI37" s="907">
        <f>Parameters!S138</f>
        <v>0.71500000000000008</v>
      </c>
      <c r="AJ37" s="907">
        <f t="shared" si="17"/>
        <v>0.4</v>
      </c>
      <c r="AK37" s="906">
        <f t="shared" si="18"/>
        <v>420.66768315955528</v>
      </c>
      <c r="AL37" s="906">
        <f t="shared" si="19"/>
        <v>420.66768315955528</v>
      </c>
      <c r="AM37" s="286">
        <f t="shared" si="20"/>
        <v>0</v>
      </c>
      <c r="AN37" s="906">
        <f t="shared" si="21"/>
        <v>2158.3387255203752</v>
      </c>
      <c r="AO37" s="906">
        <f t="shared" si="22"/>
        <v>89.092299482707759</v>
      </c>
      <c r="AP37" s="1072">
        <f t="shared" si="23"/>
        <v>59.394866321805175</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59.394866321805175</v>
      </c>
      <c r="BD37" s="1080">
        <f t="shared" si="33"/>
        <v>0</v>
      </c>
      <c r="BE37" s="301">
        <f t="shared" si="34"/>
        <v>115.46139838620192</v>
      </c>
      <c r="BF37" s="104">
        <v>0</v>
      </c>
      <c r="BG37" s="302">
        <f t="shared" si="35"/>
        <v>115.46139838620192</v>
      </c>
      <c r="BI37" s="300">
        <f t="shared" si="36"/>
        <v>56.066532064396746</v>
      </c>
      <c r="BJ37" s="301">
        <f t="shared" si="37"/>
        <v>59.394866321805175</v>
      </c>
      <c r="BK37" s="1080">
        <f t="shared" si="38"/>
        <v>0</v>
      </c>
      <c r="BL37" s="301">
        <f t="shared" si="39"/>
        <v>115.46139838620192</v>
      </c>
      <c r="BM37" s="104">
        <v>0</v>
      </c>
      <c r="BN37" s="302">
        <f t="shared" si="40"/>
        <v>115.46139838620192</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3063.9152673420963</v>
      </c>
      <c r="Y38" s="907">
        <f>Parameters!S139</f>
        <v>0.71500000000000008</v>
      </c>
      <c r="Z38" s="907">
        <f t="shared" si="9"/>
        <v>0.4</v>
      </c>
      <c r="AA38" s="906">
        <f t="shared" si="10"/>
        <v>438.13988322991986</v>
      </c>
      <c r="AB38" s="906">
        <f t="shared" si="11"/>
        <v>438.13988322991986</v>
      </c>
      <c r="AC38" s="286">
        <f t="shared" si="12"/>
        <v>0</v>
      </c>
      <c r="AD38" s="906">
        <f t="shared" si="13"/>
        <v>2491.215186984271</v>
      </c>
      <c r="AE38" s="906">
        <f t="shared" si="14"/>
        <v>105.26342176602415</v>
      </c>
      <c r="AF38" s="1072">
        <f t="shared" si="15"/>
        <v>70.175614510682763</v>
      </c>
      <c r="AG38" s="1448">
        <f t="shared" si="16"/>
        <v>0.13527885904981399</v>
      </c>
      <c r="AH38" s="914">
        <f>'Baseline data (from input)'!AS24*AG38</f>
        <v>3063.9152673420963</v>
      </c>
      <c r="AI38" s="907">
        <f>Parameters!S139</f>
        <v>0.71500000000000008</v>
      </c>
      <c r="AJ38" s="907">
        <f t="shared" si="17"/>
        <v>0.4</v>
      </c>
      <c r="AK38" s="906">
        <f t="shared" si="18"/>
        <v>438.13988322991986</v>
      </c>
      <c r="AL38" s="906">
        <f t="shared" si="19"/>
        <v>438.13988322991986</v>
      </c>
      <c r="AM38" s="286">
        <f t="shared" si="20"/>
        <v>0</v>
      </c>
      <c r="AN38" s="906">
        <f t="shared" si="21"/>
        <v>2491.215186984271</v>
      </c>
      <c r="AO38" s="906">
        <f t="shared" si="22"/>
        <v>105.26342176602415</v>
      </c>
      <c r="AP38" s="1072">
        <f t="shared" si="23"/>
        <v>70.175614510682763</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70.175614510682763</v>
      </c>
      <c r="BD38" s="1080">
        <f t="shared" si="33"/>
        <v>0</v>
      </c>
      <c r="BE38" s="301">
        <f t="shared" si="34"/>
        <v>129.47209111618903</v>
      </c>
      <c r="BF38" s="104">
        <v>0</v>
      </c>
      <c r="BG38" s="302">
        <f t="shared" si="35"/>
        <v>129.47209111618903</v>
      </c>
      <c r="BI38" s="300">
        <f t="shared" si="36"/>
        <v>59.296476605506278</v>
      </c>
      <c r="BJ38" s="301">
        <f t="shared" si="37"/>
        <v>70.175614510682763</v>
      </c>
      <c r="BK38" s="1080">
        <f t="shared" si="38"/>
        <v>0</v>
      </c>
      <c r="BL38" s="301">
        <f t="shared" si="39"/>
        <v>129.47209111618903</v>
      </c>
      <c r="BM38" s="104">
        <v>0</v>
      </c>
      <c r="BN38" s="302">
        <f t="shared" si="40"/>
        <v>129.47209111618903</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3208.4043213532386</v>
      </c>
      <c r="Y39" s="907">
        <f>Parameters!S140</f>
        <v>0.71500000000000008</v>
      </c>
      <c r="Z39" s="907">
        <f t="shared" si="9"/>
        <v>0.4</v>
      </c>
      <c r="AA39" s="906">
        <f t="shared" si="10"/>
        <v>458.80181795351325</v>
      </c>
      <c r="AB39" s="906">
        <f t="shared" si="11"/>
        <v>458.80181795351325</v>
      </c>
      <c r="AC39" s="286">
        <f t="shared" si="12"/>
        <v>0</v>
      </c>
      <c r="AD39" s="906">
        <f t="shared" si="13"/>
        <v>2828.5190065760003</v>
      </c>
      <c r="AE39" s="906">
        <f t="shared" si="14"/>
        <v>121.49799836178424</v>
      </c>
      <c r="AF39" s="1072">
        <f t="shared" si="15"/>
        <v>80.998665574522832</v>
      </c>
      <c r="AG39" s="1448">
        <f t="shared" si="16"/>
        <v>0.13527885904981399</v>
      </c>
      <c r="AH39" s="914">
        <f>'Baseline data (from input)'!AS25*AG39</f>
        <v>3208.4043213532386</v>
      </c>
      <c r="AI39" s="907">
        <f>Parameters!S140</f>
        <v>0.71500000000000008</v>
      </c>
      <c r="AJ39" s="907">
        <f t="shared" si="17"/>
        <v>0.4</v>
      </c>
      <c r="AK39" s="906">
        <f t="shared" si="18"/>
        <v>458.80181795351325</v>
      </c>
      <c r="AL39" s="906">
        <f t="shared" si="19"/>
        <v>458.80181795351325</v>
      </c>
      <c r="AM39" s="286">
        <f t="shared" si="20"/>
        <v>0</v>
      </c>
      <c r="AN39" s="906">
        <f t="shared" si="21"/>
        <v>2828.5190065760003</v>
      </c>
      <c r="AO39" s="906">
        <f t="shared" si="22"/>
        <v>121.49799836178424</v>
      </c>
      <c r="AP39" s="1072">
        <f t="shared" si="23"/>
        <v>80.998665574522832</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80.998665574522832</v>
      </c>
      <c r="BD39" s="1080">
        <f t="shared" si="33"/>
        <v>0</v>
      </c>
      <c r="BE39" s="301">
        <f t="shared" si="34"/>
        <v>143.54699470897799</v>
      </c>
      <c r="BF39" s="104">
        <v>0</v>
      </c>
      <c r="BG39" s="302">
        <f t="shared" si="35"/>
        <v>143.54699470897799</v>
      </c>
      <c r="BI39" s="300">
        <f t="shared" si="36"/>
        <v>62.548329134455173</v>
      </c>
      <c r="BJ39" s="301">
        <f t="shared" si="37"/>
        <v>80.998665574522832</v>
      </c>
      <c r="BK39" s="1080">
        <f t="shared" si="38"/>
        <v>0</v>
      </c>
      <c r="BL39" s="301">
        <f t="shared" si="39"/>
        <v>143.54699470897799</v>
      </c>
      <c r="BM39" s="104">
        <v>0</v>
      </c>
      <c r="BN39" s="302">
        <f t="shared" si="40"/>
        <v>143.54699470897799</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3376.8030091143287</v>
      </c>
      <c r="Y40" s="907">
        <f>Parameters!S141</f>
        <v>0.71500000000000008</v>
      </c>
      <c r="Z40" s="907">
        <f t="shared" si="9"/>
        <v>0.4</v>
      </c>
      <c r="AA40" s="906">
        <f t="shared" si="10"/>
        <v>482.88283030334907</v>
      </c>
      <c r="AB40" s="906">
        <f t="shared" si="11"/>
        <v>482.88283030334907</v>
      </c>
      <c r="AC40" s="286">
        <f t="shared" si="12"/>
        <v>0</v>
      </c>
      <c r="AD40" s="906">
        <f t="shared" si="13"/>
        <v>3173.4533371179691</v>
      </c>
      <c r="AE40" s="906">
        <f t="shared" si="14"/>
        <v>137.94849976138022</v>
      </c>
      <c r="AF40" s="1072">
        <f t="shared" si="15"/>
        <v>91.965666507586818</v>
      </c>
      <c r="AG40" s="1448">
        <f t="shared" si="16"/>
        <v>0.13527885904981399</v>
      </c>
      <c r="AH40" s="914">
        <f>'Baseline data (from input)'!AS26*AG40</f>
        <v>3376.8030091143287</v>
      </c>
      <c r="AI40" s="907">
        <f>Parameters!S141</f>
        <v>0.71500000000000008</v>
      </c>
      <c r="AJ40" s="907">
        <f t="shared" si="17"/>
        <v>0.4</v>
      </c>
      <c r="AK40" s="906">
        <f t="shared" si="18"/>
        <v>482.88283030334907</v>
      </c>
      <c r="AL40" s="906">
        <f t="shared" si="19"/>
        <v>482.88283030334907</v>
      </c>
      <c r="AM40" s="286">
        <f t="shared" si="20"/>
        <v>0</v>
      </c>
      <c r="AN40" s="906">
        <f t="shared" si="21"/>
        <v>3173.4533371179691</v>
      </c>
      <c r="AO40" s="906">
        <f t="shared" si="22"/>
        <v>137.94849976138022</v>
      </c>
      <c r="AP40" s="1072">
        <f t="shared" si="23"/>
        <v>91.965666507586818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91.965666507586818</v>
      </c>
      <c r="BD40" s="1080">
        <f t="shared" si="33"/>
        <v>0</v>
      </c>
      <c r="BE40" s="301">
        <f t="shared" si="34"/>
        <v>157.78798406545133</v>
      </c>
      <c r="BF40" s="104">
        <v>0</v>
      </c>
      <c r="BG40" s="302">
        <f t="shared" si="35"/>
        <v>157.78798406545133</v>
      </c>
      <c r="BI40" s="300">
        <f t="shared" si="36"/>
        <v>65.822317557864508</v>
      </c>
      <c r="BJ40" s="301">
        <f t="shared" si="37"/>
        <v>91.965666507586818</v>
      </c>
      <c r="BK40" s="1080">
        <f t="shared" si="38"/>
        <v>0</v>
      </c>
      <c r="BL40" s="301">
        <f t="shared" si="39"/>
        <v>157.78798406545133</v>
      </c>
      <c r="BM40" s="104">
        <v>0</v>
      </c>
      <c r="BN40" s="302">
        <f t="shared" si="40"/>
        <v>157.78798406545133</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3521.2954113199135</v>
      </c>
      <c r="Y41" s="907">
        <f>Parameters!S142</f>
        <v>0.71500000000000008</v>
      </c>
      <c r="Z41" s="907">
        <f t="shared" si="9"/>
        <v>0.4</v>
      </c>
      <c r="AA41" s="906">
        <f t="shared" si="10"/>
        <v>503.54524381874768</v>
      </c>
      <c r="AB41" s="906">
        <f t="shared" si="11"/>
        <v>503.54524381874768</v>
      </c>
      <c r="AC41" s="286">
        <f t="shared" si="12"/>
        <v>0</v>
      </c>
      <c r="AD41" s="906">
        <f t="shared" si="13"/>
        <v>3522.2274353653438</v>
      </c>
      <c r="AE41" s="906">
        <f t="shared" si="14"/>
        <v>154.77114557137295</v>
      </c>
      <c r="AF41" s="1072">
        <f t="shared" si="15"/>
        <v>103.18076371424864</v>
      </c>
      <c r="AG41" s="1448">
        <f t="shared" si="16"/>
        <v>0.13527885904981399</v>
      </c>
      <c r="AH41" s="914">
        <f>'Baseline data (from input)'!AS27*AG41</f>
        <v>3521.2954113199135</v>
      </c>
      <c r="AI41" s="907">
        <f>Parameters!S142</f>
        <v>0.71500000000000008</v>
      </c>
      <c r="AJ41" s="907">
        <f t="shared" si="17"/>
        <v>0.4</v>
      </c>
      <c r="AK41" s="906">
        <f t="shared" si="18"/>
        <v>503.54524381874768</v>
      </c>
      <c r="AL41" s="906">
        <f t="shared" si="19"/>
        <v>503.54524381874768</v>
      </c>
      <c r="AM41" s="286">
        <f t="shared" si="20"/>
        <v>0</v>
      </c>
      <c r="AN41" s="906">
        <f t="shared" si="21"/>
        <v>3522.2274353653438</v>
      </c>
      <c r="AO41" s="906">
        <f t="shared" si="22"/>
        <v>154.77114557137295</v>
      </c>
      <c r="AP41" s="1072">
        <f t="shared" si="23"/>
        <v>103.18076371424864</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103.18076371424864</v>
      </c>
      <c r="BD41" s="1080">
        <f t="shared" si="33"/>
        <v>0</v>
      </c>
      <c r="BE41" s="301">
        <f t="shared" si="34"/>
        <v>172.29942238146691</v>
      </c>
      <c r="BF41" s="104">
        <v>0</v>
      </c>
      <c r="BG41" s="302">
        <f t="shared" si="35"/>
        <v>172.29942238146691</v>
      </c>
      <c r="BI41" s="300">
        <f t="shared" si="36"/>
        <v>69.118658667218284</v>
      </c>
      <c r="BJ41" s="301">
        <f t="shared" si="37"/>
        <v>103.18076371424864</v>
      </c>
      <c r="BK41" s="1080">
        <f t="shared" si="38"/>
        <v>0</v>
      </c>
      <c r="BL41" s="301">
        <f t="shared" si="39"/>
        <v>172.29942238146691</v>
      </c>
      <c r="BM41" s="104">
        <v>0</v>
      </c>
      <c r="BN41" s="302">
        <f t="shared" si="40"/>
        <v>172.29942238146691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3579.5644711379095</v>
      </c>
      <c r="Y42" s="907">
        <f>Parameters!S143</f>
        <v>0.71500000000000008</v>
      </c>
      <c r="Z42" s="907">
        <f t="shared" si="9"/>
        <v>0.4</v>
      </c>
      <c r="AA42" s="906">
        <f t="shared" si="10"/>
        <v>511.87771937272117</v>
      </c>
      <c r="AB42" s="906">
        <f t="shared" si="11"/>
        <v>511.87771937272117</v>
      </c>
      <c r="AC42" s="286">
        <f t="shared" si="12"/>
        <v>0</v>
      </c>
      <c r="AD42" s="906">
        <f t="shared" si="13"/>
        <v>3862.3240956759228</v>
      </c>
      <c r="AE42" s="906">
        <f t="shared" si="14"/>
        <v>171.78105906214194</v>
      </c>
      <c r="AF42" s="1072">
        <f t="shared" si="15"/>
        <v>114.52070604142796</v>
      </c>
      <c r="AG42" s="1448">
        <f t="shared" si="16"/>
        <v>0.13527885904981399</v>
      </c>
      <c r="AH42" s="914">
        <f>'Baseline data (from input)'!AS28*AG42</f>
        <v>3579.5644711379095</v>
      </c>
      <c r="AI42" s="907">
        <f>Parameters!S143</f>
        <v>0.71500000000000008</v>
      </c>
      <c r="AJ42" s="907">
        <f t="shared" si="17"/>
        <v>0.4</v>
      </c>
      <c r="AK42" s="906">
        <f t="shared" si="18"/>
        <v>511.87771937272117</v>
      </c>
      <c r="AL42" s="906">
        <f t="shared" si="19"/>
        <v>511.87771937272117</v>
      </c>
      <c r="AM42" s="286">
        <f t="shared" si="20"/>
        <v>0</v>
      </c>
      <c r="AN42" s="906">
        <f t="shared" si="21"/>
        <v>3862.3240956759228</v>
      </c>
      <c r="AO42" s="906">
        <f t="shared" si="22"/>
        <v>171.78105906214194</v>
      </c>
      <c r="AP42" s="1072">
        <f t="shared" si="23"/>
        <v>114.52070604142796</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114.52070604142796</v>
      </c>
      <c r="BD42" s="1080">
        <f t="shared" si="33"/>
        <v>0</v>
      </c>
      <c r="BE42" s="301">
        <f t="shared" si="34"/>
        <v>193.88392622560946</v>
      </c>
      <c r="BF42" s="104">
        <v>0</v>
      </c>
      <c r="BG42" s="302">
        <f t="shared" si="35"/>
        <v>193.88392622560946</v>
      </c>
      <c r="BI42" s="300">
        <f t="shared" si="36"/>
        <v>79.363220184181515</v>
      </c>
      <c r="BJ42" s="301">
        <f t="shared" si="37"/>
        <v>114.52070604142796</v>
      </c>
      <c r="BK42" s="1080">
        <f t="shared" si="38"/>
        <v>0</v>
      </c>
      <c r="BL42" s="301">
        <f t="shared" si="39"/>
        <v>193.88392622560946</v>
      </c>
      <c r="BM42" s="104">
        <v>0</v>
      </c>
      <c r="BN42" s="302">
        <f t="shared" si="40"/>
        <v>193.88392622560946</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3743.2220804016683</v>
      </c>
      <c r="Y43" s="907">
        <f>Parameters!S144</f>
        <v>0.71500000000000008</v>
      </c>
      <c r="Z43" s="907">
        <f t="shared" si="9"/>
        <v>0.4</v>
      </c>
      <c r="AA43" s="906">
        <f t="shared" si="10"/>
        <v>535.28075749743869</v>
      </c>
      <c r="AB43" s="906">
        <f t="shared" si="11"/>
        <v>535.28075749743869</v>
      </c>
      <c r="AC43" s="286">
        <f t="shared" si="12"/>
        <v>0</v>
      </c>
      <c r="AD43" s="906">
        <f t="shared" si="13"/>
        <v>4209.2370842624878</v>
      </c>
      <c r="AE43" s="906">
        <f t="shared" si="14"/>
        <v>188.36776891087405</v>
      </c>
      <c r="AF43" s="1072">
        <f t="shared" si="15"/>
        <v>125.57851260724937</v>
      </c>
      <c r="AG43" s="1448">
        <f t="shared" si="16"/>
        <v>0.13527885904981399</v>
      </c>
      <c r="AH43" s="914">
        <f>'Baseline data (from input)'!AS29*AG43</f>
        <v>3743.2220804016683</v>
      </c>
      <c r="AI43" s="907">
        <f>Parameters!S144</f>
        <v>0.71500000000000008</v>
      </c>
      <c r="AJ43" s="907">
        <f t="shared" si="17"/>
        <v>0.4</v>
      </c>
      <c r="AK43" s="906">
        <f t="shared" si="18"/>
        <v>535.28075749743869</v>
      </c>
      <c r="AL43" s="906">
        <f t="shared" si="19"/>
        <v>535.28075749743869</v>
      </c>
      <c r="AM43" s="286">
        <f t="shared" si="20"/>
        <v>0</v>
      </c>
      <c r="AN43" s="906">
        <f t="shared" si="21"/>
        <v>4209.2370842624878</v>
      </c>
      <c r="AO43" s="906">
        <f t="shared" si="22"/>
        <v>188.36776891087405</v>
      </c>
      <c r="AP43" s="1072">
        <f t="shared" si="23"/>
        <v>125.57851260724937</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125.57851260724937</v>
      </c>
      <c r="BD43" s="1080">
        <f t="shared" si="33"/>
        <v>0</v>
      </c>
      <c r="BE43" s="301">
        <f t="shared" si="34"/>
        <v>215.00232045097016</v>
      </c>
      <c r="BF43" s="104">
        <v>0</v>
      </c>
      <c r="BG43" s="302">
        <f t="shared" si="35"/>
        <v>215.00232045097016</v>
      </c>
      <c r="BI43" s="300">
        <f t="shared" si="36"/>
        <v>89.42380784372078</v>
      </c>
      <c r="BJ43" s="301">
        <f t="shared" si="37"/>
        <v>125.57851260724937</v>
      </c>
      <c r="BK43" s="1080">
        <f t="shared" si="38"/>
        <v>0</v>
      </c>
      <c r="BL43" s="301">
        <f t="shared" si="39"/>
        <v>215.00232045097016</v>
      </c>
      <c r="BM43" s="104">
        <v>0</v>
      </c>
      <c r="BN43" s="302">
        <f t="shared" si="40"/>
        <v>215.00232045097016</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3971.9724203311926</v>
      </c>
      <c r="Y44" s="907">
        <f>Parameters!S145</f>
        <v>0.71500000000000008</v>
      </c>
      <c r="Z44" s="907">
        <f t="shared" si="9"/>
        <v>0.4</v>
      </c>
      <c r="AA44" s="906">
        <f t="shared" si="10"/>
        <v>567.99205610736067</v>
      </c>
      <c r="AB44" s="906">
        <f t="shared" si="11"/>
        <v>567.99205610736067</v>
      </c>
      <c r="AC44" s="286">
        <f t="shared" si="12"/>
        <v>0</v>
      </c>
      <c r="AD44" s="906">
        <f t="shared" si="13"/>
        <v>4571.9422253574303</v>
      </c>
      <c r="AE44" s="906">
        <f t="shared" si="14"/>
        <v>205.28691501241806</v>
      </c>
      <c r="AF44" s="1072">
        <f t="shared" si="15"/>
        <v>136.85794334161204</v>
      </c>
      <c r="AG44" s="1448">
        <f t="shared" si="16"/>
        <v>0.13527885904981399</v>
      </c>
      <c r="AH44" s="914">
        <f>'Baseline data (from input)'!AS30*AG44</f>
        <v>3971.9724203311926</v>
      </c>
      <c r="AI44" s="907">
        <f>Parameters!S145</f>
        <v>0.71500000000000008</v>
      </c>
      <c r="AJ44" s="907">
        <f t="shared" si="17"/>
        <v>0.4</v>
      </c>
      <c r="AK44" s="906">
        <f t="shared" si="18"/>
        <v>567.99205610736067</v>
      </c>
      <c r="AL44" s="906">
        <f t="shared" si="19"/>
        <v>567.99205610736067</v>
      </c>
      <c r="AM44" s="286">
        <f t="shared" si="20"/>
        <v>0</v>
      </c>
      <c r="AN44" s="906">
        <f t="shared" si="21"/>
        <v>4571.9422253574303</v>
      </c>
      <c r="AO44" s="906">
        <f t="shared" si="22"/>
        <v>205.28691501241806</v>
      </c>
      <c r="AP44" s="1072">
        <f t="shared" si="23"/>
        <v>136.85794334161204</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136.85794334161204</v>
      </c>
      <c r="BD44" s="1080">
        <f t="shared" si="33"/>
        <v>0</v>
      </c>
      <c r="BE44" s="301">
        <f t="shared" si="34"/>
        <v>236.17095191785722</v>
      </c>
      <c r="BF44" s="104">
        <v>0</v>
      </c>
      <c r="BG44" s="302">
        <f t="shared" si="35"/>
        <v>236.17095191785722</v>
      </c>
      <c r="BI44" s="300">
        <f t="shared" si="36"/>
        <v>99.313008576245181</v>
      </c>
      <c r="BJ44" s="301">
        <f t="shared" si="37"/>
        <v>136.85794334161204</v>
      </c>
      <c r="BK44" s="1080">
        <f t="shared" si="38"/>
        <v>0</v>
      </c>
      <c r="BL44" s="301">
        <f t="shared" si="39"/>
        <v>236.17095191785722</v>
      </c>
      <c r="BM44" s="104">
        <v>0</v>
      </c>
      <c r="BN44" s="302">
        <f t="shared" si="40"/>
        <v>236.17095191785722</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4039.3151543226409</v>
      </c>
      <c r="Y45" s="907">
        <f>Parameters!S146</f>
        <v>0.71500000000000008</v>
      </c>
      <c r="Z45" s="907">
        <f t="shared" si="9"/>
        <v>0.4</v>
      </c>
      <c r="AA45" s="906">
        <f t="shared" si="10"/>
        <v>577.62206706813777</v>
      </c>
      <c r="AB45" s="906">
        <f t="shared" si="11"/>
        <v>577.62206706813777</v>
      </c>
      <c r="AC45" s="286">
        <f t="shared" si="12"/>
        <v>0</v>
      </c>
      <c r="AD45" s="906">
        <f t="shared" si="13"/>
        <v>4926.5880389453996</v>
      </c>
      <c r="AE45" s="906">
        <f t="shared" si="14"/>
        <v>222.97625348016814</v>
      </c>
      <c r="AF45" s="1072">
        <f t="shared" si="15"/>
        <v>148.65083565344543</v>
      </c>
      <c r="AG45" s="1448">
        <f t="shared" si="16"/>
        <v>0.13527885904981399</v>
      </c>
      <c r="AH45" s="914">
        <f>'Baseline data (from input)'!AS31*AG45</f>
        <v>4039.3151543226409</v>
      </c>
      <c r="AI45" s="907">
        <f>Parameters!S146</f>
        <v>0.71500000000000008</v>
      </c>
      <c r="AJ45" s="907">
        <f t="shared" si="17"/>
        <v>0.4</v>
      </c>
      <c r="AK45" s="906">
        <f t="shared" si="18"/>
        <v>577.62206706813777</v>
      </c>
      <c r="AL45" s="906">
        <f t="shared" si="19"/>
        <v>577.62206706813777</v>
      </c>
      <c r="AM45" s="286">
        <f t="shared" si="20"/>
        <v>0</v>
      </c>
      <c r="AN45" s="906">
        <f t="shared" si="21"/>
        <v>4926.5880389453996</v>
      </c>
      <c r="AO45" s="906">
        <f t="shared" si="22"/>
        <v>222.97625348016814</v>
      </c>
      <c r="AP45" s="1072">
        <f t="shared" si="23"/>
        <v>148.65083565344543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148.65083565344543</v>
      </c>
      <c r="BD45" s="1080">
        <f t="shared" si="33"/>
        <v>0</v>
      </c>
      <c r="BE45" s="301">
        <f t="shared" si="34"/>
        <v>257.69242628726749</v>
      </c>
      <c r="BF45" s="104">
        <v>0</v>
      </c>
      <c r="BG45" s="302">
        <f t="shared" si="35"/>
        <v>257.69242628726749</v>
      </c>
      <c r="BI45" s="300">
        <f t="shared" si="36"/>
        <v>109.04159063382205</v>
      </c>
      <c r="BJ45" s="301">
        <f t="shared" si="37"/>
        <v>148.65083565344543</v>
      </c>
      <c r="BK45" s="1080">
        <f t="shared" si="38"/>
        <v>0</v>
      </c>
      <c r="BL45" s="301">
        <f t="shared" si="39"/>
        <v>257.69242628726749</v>
      </c>
      <c r="BM45" s="104">
        <v>0</v>
      </c>
      <c r="BN45" s="302">
        <f t="shared" si="40"/>
        <v>257.69242628726749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4130.1958697335822</v>
      </c>
      <c r="Y46" s="907">
        <f>Parameters!S147</f>
        <v>0.71500000000000008</v>
      </c>
      <c r="Z46" s="907">
        <f t="shared" si="9"/>
        <v>0.4</v>
      </c>
      <c r="AA46" s="906">
        <f t="shared" si="10"/>
        <v>590.6180093719023</v>
      </c>
      <c r="AB46" s="906">
        <f t="shared" si="11"/>
        <v>590.6180093719023</v>
      </c>
      <c r="AC46" s="286">
        <f t="shared" si="12"/>
        <v>0</v>
      </c>
      <c r="AD46" s="906">
        <f t="shared" si="13"/>
        <v>5276.933514410036</v>
      </c>
      <c r="AE46" s="906">
        <f t="shared" si="14"/>
        <v>240.27253390726588</v>
      </c>
      <c r="AF46" s="1072">
        <f t="shared" si="15"/>
        <v>160.18168927151058</v>
      </c>
      <c r="AG46" s="1448">
        <f t="shared" si="16"/>
        <v>0.13527885904981399</v>
      </c>
      <c r="AH46" s="914">
        <f>'Baseline data (from input)'!AS32*AG46</f>
        <v>4130.1958697335822</v>
      </c>
      <c r="AI46" s="907">
        <f>Parameters!S147</f>
        <v>0.71500000000000008</v>
      </c>
      <c r="AJ46" s="907">
        <f t="shared" si="17"/>
        <v>0.4</v>
      </c>
      <c r="AK46" s="906">
        <f t="shared" si="18"/>
        <v>590.6180093719023</v>
      </c>
      <c r="AL46" s="906">
        <f t="shared" si="19"/>
        <v>590.6180093719023</v>
      </c>
      <c r="AM46" s="286">
        <f t="shared" si="20"/>
        <v>0</v>
      </c>
      <c r="AN46" s="906">
        <f t="shared" si="21"/>
        <v>5276.933514410036</v>
      </c>
      <c r="AO46" s="906">
        <f t="shared" si="22"/>
        <v>240.27253390726588</v>
      </c>
      <c r="AP46" s="1072">
        <f t="shared" si="23"/>
        <v>160.18168927151058</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160.18168927151058</v>
      </c>
      <c r="BD46" s="1080">
        <f t="shared" si="33"/>
        <v>0</v>
      </c>
      <c r="BE46" s="301">
        <f t="shared" si="34"/>
        <v>278.80148636617889</v>
      </c>
      <c r="BF46" s="104">
        <v>0</v>
      </c>
      <c r="BG46" s="302">
        <f t="shared" si="35"/>
        <v>278.80148636617889</v>
      </c>
      <c r="BI46" s="300">
        <f t="shared" si="36"/>
        <v>118.6197970946683</v>
      </c>
      <c r="BJ46" s="301">
        <f t="shared" si="37"/>
        <v>160.18168927151058</v>
      </c>
      <c r="BK46" s="1080">
        <f t="shared" si="38"/>
        <v>0</v>
      </c>
      <c r="BL46" s="301">
        <f t="shared" si="39"/>
        <v>278.80148636617889</v>
      </c>
      <c r="BM46" s="104">
        <v>0</v>
      </c>
      <c r="BN46" s="302">
        <f t="shared" si="40"/>
        <v>278.80148636617889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4126.3119353883139</v>
      </c>
      <c r="Y47" s="907">
        <f>Parameters!S148</f>
        <v>0.71500000000000008</v>
      </c>
      <c r="Z47" s="907">
        <f t="shared" si="9"/>
        <v>0.4</v>
      </c>
      <c r="AA47" s="906">
        <f t="shared" si="10"/>
        <v>590.06260676052898</v>
      </c>
      <c r="AB47" s="906">
        <f t="shared" si="11"/>
        <v>590.06260676052898</v>
      </c>
      <c r="AC47" s="286">
        <f t="shared" si="12"/>
        <v>0</v>
      </c>
      <c r="AD47" s="906">
        <f t="shared" si="13"/>
        <v>5609.6370368013177</v>
      </c>
      <c r="AE47" s="906">
        <f t="shared" si="14"/>
        <v>257.35908436924717</v>
      </c>
      <c r="AF47" s="1072">
        <f t="shared" si="15"/>
        <v>171.57272291283144</v>
      </c>
      <c r="AG47" s="1448">
        <f t="shared" si="16"/>
        <v>0.13527885904981399</v>
      </c>
      <c r="AH47" s="914">
        <f>'Baseline data (from input)'!AS33*AG47</f>
        <v>4126.3119353883139</v>
      </c>
      <c r="AI47" s="907">
        <f>Parameters!S148</f>
        <v>0.71500000000000008</v>
      </c>
      <c r="AJ47" s="907">
        <f t="shared" si="17"/>
        <v>0.4</v>
      </c>
      <c r="AK47" s="906">
        <f t="shared" si="18"/>
        <v>590.06260676052898</v>
      </c>
      <c r="AL47" s="906">
        <f t="shared" si="19"/>
        <v>590.06260676052898</v>
      </c>
      <c r="AM47" s="286">
        <f t="shared" si="20"/>
        <v>0</v>
      </c>
      <c r="AN47" s="906">
        <f t="shared" si="21"/>
        <v>5609.6370368013177</v>
      </c>
      <c r="AO47" s="906">
        <f t="shared" si="22"/>
        <v>257.35908436924717</v>
      </c>
      <c r="AP47" s="1072">
        <f t="shared" si="23"/>
        <v>171.57272291283144</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171.57272291283144</v>
      </c>
      <c r="BD47" s="1080">
        <f t="shared" si="33"/>
        <v>0</v>
      </c>
      <c r="BE47" s="301">
        <f t="shared" si="34"/>
        <v>299.62888958251085</v>
      </c>
      <c r="BF47" s="104">
        <v>0</v>
      </c>
      <c r="BG47" s="302">
        <f t="shared" si="35"/>
        <v>299.62888958251085</v>
      </c>
      <c r="BI47" s="300">
        <f t="shared" si="36"/>
        <v>128.05616666967944</v>
      </c>
      <c r="BJ47" s="301">
        <f t="shared" si="37"/>
        <v>171.57272291283144</v>
      </c>
      <c r="BK47" s="1080">
        <f t="shared" si="38"/>
        <v>0</v>
      </c>
      <c r="BL47" s="301">
        <f t="shared" si="39"/>
        <v>299.62888958251085</v>
      </c>
      <c r="BM47" s="104">
        <v>0</v>
      </c>
      <c r="BN47" s="302">
        <f t="shared" si="40"/>
        <v>299.62888958251085</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4250.7016291704967</v>
      </c>
      <c r="Y48" s="907">
        <f>Parameters!S149</f>
        <v>0.71500000000000008</v>
      </c>
      <c r="Z48" s="907">
        <f t="shared" si="9"/>
        <v>0.4</v>
      </c>
      <c r="AA48" s="906">
        <f t="shared" si="10"/>
        <v>607.85033297138114</v>
      </c>
      <c r="AB48" s="906">
        <f t="shared" si="11"/>
        <v>607.85033297138114</v>
      </c>
      <c r="AC48" s="286">
        <f t="shared" si="12"/>
        <v>0</v>
      </c>
      <c r="AD48" s="906">
        <f t="shared" si="13"/>
        <v>5943.9021431457895</v>
      </c>
      <c r="AE48" s="906">
        <f t="shared" si="14"/>
        <v>273.58522662690956</v>
      </c>
      <c r="AF48" s="1072">
        <f t="shared" si="15"/>
        <v>182.39015108460637</v>
      </c>
      <c r="AG48" s="1448">
        <f t="shared" si="16"/>
        <v>0.13527885904981399</v>
      </c>
      <c r="AH48" s="914">
        <f>'Baseline data (from input)'!AS34*AG48</f>
        <v>4250.7016291704967</v>
      </c>
      <c r="AI48" s="907">
        <f>Parameters!S149</f>
        <v>0.71500000000000008</v>
      </c>
      <c r="AJ48" s="907">
        <f t="shared" si="17"/>
        <v>0.4</v>
      </c>
      <c r="AK48" s="906">
        <f t="shared" si="18"/>
        <v>607.85033297138114</v>
      </c>
      <c r="AL48" s="906">
        <f t="shared" si="19"/>
        <v>607.85033297138114</v>
      </c>
      <c r="AM48" s="286">
        <f t="shared" si="20"/>
        <v>0</v>
      </c>
      <c r="AN48" s="906">
        <f t="shared" si="21"/>
        <v>5943.9021431457895</v>
      </c>
      <c r="AO48" s="906">
        <f t="shared" si="22"/>
        <v>273.58522662690956</v>
      </c>
      <c r="AP48" s="1072">
        <f t="shared" si="23"/>
        <v>182.39015108460637</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182.39015108460637</v>
      </c>
      <c r="BD48" s="1080">
        <f t="shared" si="33"/>
        <v>0</v>
      </c>
      <c r="BE48" s="301">
        <f t="shared" si="34"/>
        <v>319.74656310350917</v>
      </c>
      <c r="BF48" s="104">
        <v>0</v>
      </c>
      <c r="BG48" s="302">
        <f t="shared" si="35"/>
        <v>319.74656310350917</v>
      </c>
      <c r="BI48" s="300">
        <f t="shared" si="36"/>
        <v>137.35641201890277</v>
      </c>
      <c r="BJ48" s="301">
        <f t="shared" si="37"/>
        <v>182.39015108460637</v>
      </c>
      <c r="BK48" s="1080">
        <f t="shared" si="38"/>
        <v>0</v>
      </c>
      <c r="BL48" s="301">
        <f t="shared" si="39"/>
        <v>319.74656310350917</v>
      </c>
      <c r="BM48" s="104">
        <v>0</v>
      </c>
      <c r="BN48" s="302">
        <f t="shared" si="40"/>
        <v>319.74656310350917</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4411.8246364609513</v>
      </c>
      <c r="Y49" s="907">
        <f>Parameters!S150</f>
        <v>0.71500000000000008</v>
      </c>
      <c r="Z49" s="907">
        <f t="shared" si="9"/>
        <v>0.4</v>
      </c>
      <c r="AA49" s="906">
        <f t="shared" si="10"/>
        <v>630.89092301391611</v>
      </c>
      <c r="AB49" s="906">
        <f t="shared" si="11"/>
        <v>630.89092301391611</v>
      </c>
      <c r="AC49" s="286">
        <f t="shared" si="12"/>
        <v>0</v>
      </c>
      <c r="AD49" s="906">
        <f t="shared" si="13"/>
        <v>6284.9055379270458</v>
      </c>
      <c r="AE49" s="906">
        <f t="shared" si="14"/>
        <v>289.88752823265952</v>
      </c>
      <c r="AF49" s="1072">
        <f t="shared" si="15"/>
        <v>193.25835215510634</v>
      </c>
      <c r="AG49" s="1448">
        <f t="shared" si="16"/>
        <v>0.13527885904981399</v>
      </c>
      <c r="AH49" s="914">
        <f>'Baseline data (from input)'!AS35*AG49</f>
        <v>4411.8246364609513</v>
      </c>
      <c r="AI49" s="907">
        <f>Parameters!S150</f>
        <v>0.71500000000000008</v>
      </c>
      <c r="AJ49" s="907">
        <f t="shared" si="17"/>
        <v>0.4</v>
      </c>
      <c r="AK49" s="906">
        <f t="shared" si="18"/>
        <v>630.89092301391611</v>
      </c>
      <c r="AL49" s="906">
        <f t="shared" si="19"/>
        <v>630.89092301391611</v>
      </c>
      <c r="AM49" s="286">
        <f t="shared" si="20"/>
        <v>0</v>
      </c>
      <c r="AN49" s="906">
        <f t="shared" si="21"/>
        <v>6284.9055379270458</v>
      </c>
      <c r="AO49" s="906">
        <f t="shared" si="22"/>
        <v>289.88752823265952</v>
      </c>
      <c r="AP49" s="1072">
        <f t="shared" si="23"/>
        <v>193.25835215510634</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193.25835215510634</v>
      </c>
      <c r="BD49" s="1080">
        <f t="shared" si="33"/>
        <v>0</v>
      </c>
      <c r="BE49" s="301">
        <f t="shared" si="34"/>
        <v>339.79215059003616</v>
      </c>
      <c r="BF49" s="104">
        <v>0</v>
      </c>
      <c r="BG49" s="302">
        <f t="shared" si="35"/>
        <v>339.79215059003616</v>
      </c>
      <c r="BI49" s="300">
        <f t="shared" si="36"/>
        <v>146.53379843492979</v>
      </c>
      <c r="BJ49" s="301">
        <f t="shared" si="37"/>
        <v>193.25835215510634</v>
      </c>
      <c r="BK49" s="1080">
        <f t="shared" si="38"/>
        <v>0</v>
      </c>
      <c r="BL49" s="301">
        <f t="shared" si="39"/>
        <v>339.79215059003616</v>
      </c>
      <c r="BM49" s="104">
        <v>0</v>
      </c>
      <c r="BN49" s="302">
        <f t="shared" si="40"/>
        <v>339.79215059003616</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4703.9132401423676</v>
      </c>
      <c r="Y50" s="907">
        <f>Parameters!S151</f>
        <v>0.71500000000000008</v>
      </c>
      <c r="Z50" s="907">
        <f t="shared" si="9"/>
        <v>0.4</v>
      </c>
      <c r="AA50" s="906">
        <f t="shared" si="10"/>
        <v>672.6595933403587</v>
      </c>
      <c r="AB50" s="906">
        <f t="shared" si="11"/>
        <v>672.6595933403587</v>
      </c>
      <c r="AC50" s="286">
        <f t="shared" si="12"/>
        <v>0</v>
      </c>
      <c r="AD50" s="906">
        <f t="shared" si="13"/>
        <v>6651.0466712240532</v>
      </c>
      <c r="AE50" s="906">
        <f t="shared" si="14"/>
        <v>306.51846004335158</v>
      </c>
      <c r="AF50" s="1072">
        <f t="shared" si="15"/>
        <v>204.34564002890104</v>
      </c>
      <c r="AG50" s="1448">
        <f t="shared" si="16"/>
        <v>0.13527885904981399</v>
      </c>
      <c r="AH50" s="914">
        <f>'Baseline data (from input)'!AS36*AG50</f>
        <v>4703.9132401423676</v>
      </c>
      <c r="AI50" s="907">
        <f>Parameters!S151</f>
        <v>0.71500000000000008</v>
      </c>
      <c r="AJ50" s="907">
        <f t="shared" si="17"/>
        <v>0.4</v>
      </c>
      <c r="AK50" s="906">
        <f t="shared" si="18"/>
        <v>672.6595933403587</v>
      </c>
      <c r="AL50" s="906">
        <f t="shared" si="19"/>
        <v>672.6595933403587</v>
      </c>
      <c r="AM50" s="286">
        <f t="shared" si="20"/>
        <v>0</v>
      </c>
      <c r="AN50" s="906">
        <f t="shared" si="21"/>
        <v>6651.0466712240532</v>
      </c>
      <c r="AO50" s="906">
        <f t="shared" si="22"/>
        <v>306.51846004335158</v>
      </c>
      <c r="AP50" s="1072">
        <f t="shared" si="23"/>
        <v>204.34564002890104</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204.34564002890104</v>
      </c>
      <c r="BD50" s="1080">
        <f t="shared" si="33"/>
        <v>0</v>
      </c>
      <c r="BE50" s="301">
        <f t="shared" si="34"/>
        <v>359.96224676782379</v>
      </c>
      <c r="BF50" s="104">
        <v>0</v>
      </c>
      <c r="BG50" s="302">
        <f t="shared" si="35"/>
        <v>359.96224676782379</v>
      </c>
      <c r="BI50" s="300">
        <f t="shared" si="36"/>
        <v>155.61660673892274</v>
      </c>
      <c r="BJ50" s="301">
        <f t="shared" si="37"/>
        <v>204.34564002890104</v>
      </c>
      <c r="BK50" s="1080">
        <f t="shared" si="38"/>
        <v>0</v>
      </c>
      <c r="BL50" s="301">
        <f t="shared" si="39"/>
        <v>359.96224676782379</v>
      </c>
      <c r="BM50" s="104">
        <v>0</v>
      </c>
      <c r="BN50" s="302">
        <f t="shared" si="40"/>
        <v>359.96224676782379</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4956.0776773639745</v>
      </c>
      <c r="Y51" s="907">
        <f>Parameters!S152</f>
        <v>0.71500000000000008</v>
      </c>
      <c r="Z51" s="907">
        <f t="shared" si="9"/>
        <v>0.4</v>
      </c>
      <c r="AA51" s="906">
        <f t="shared" si="10"/>
        <v>708.71910786304852</v>
      </c>
      <c r="AB51" s="906">
        <f t="shared" si="11"/>
        <v>708.71910786304852</v>
      </c>
      <c r="AC51" s="286">
        <f t="shared" si="12"/>
        <v>0</v>
      </c>
      <c r="AD51" s="906">
        <f t="shared" si="13"/>
        <v>7035.3904052588941</v>
      </c>
      <c r="AE51" s="906">
        <f t="shared" si="14"/>
        <v>324.37537382820739</v>
      </c>
      <c r="AF51" s="1072">
        <f t="shared" si="15"/>
        <v>216.25024921880492</v>
      </c>
      <c r="AG51" s="1448">
        <f t="shared" si="16"/>
        <v>0.13527885904981399</v>
      </c>
      <c r="AH51" s="914">
        <f>'Baseline data (from input)'!AS37*AG51</f>
        <v>4956.0776773639745</v>
      </c>
      <c r="AI51" s="907">
        <f>Parameters!S152</f>
        <v>0.71500000000000008</v>
      </c>
      <c r="AJ51" s="907">
        <f t="shared" si="17"/>
        <v>0.4</v>
      </c>
      <c r="AK51" s="906">
        <f t="shared" si="18"/>
        <v>708.71910786304852</v>
      </c>
      <c r="AL51" s="906">
        <f t="shared" si="19"/>
        <v>708.71910786304852</v>
      </c>
      <c r="AM51" s="286">
        <f t="shared" si="20"/>
        <v>0</v>
      </c>
      <c r="AN51" s="906">
        <f t="shared" si="21"/>
        <v>7035.3904052588941</v>
      </c>
      <c r="AO51" s="906">
        <f t="shared" si="22"/>
        <v>324.37537382820739</v>
      </c>
      <c r="AP51" s="1072">
        <f t="shared" si="23"/>
        <v>216.25024921880492</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216.25024921880492</v>
      </c>
      <c r="BD51" s="1080">
        <f t="shared" si="33"/>
        <v>0</v>
      </c>
      <c r="BE51" s="301">
        <f t="shared" si="34"/>
        <v>380.88921653793648</v>
      </c>
      <c r="BF51" s="104">
        <v>0</v>
      </c>
      <c r="BG51" s="302">
        <f t="shared" si="35"/>
        <v>380.88921653793648</v>
      </c>
      <c r="BI51" s="300">
        <f t="shared" si="36"/>
        <v>164.63896731913152</v>
      </c>
      <c r="BJ51" s="301">
        <f t="shared" si="37"/>
        <v>216.25024921880492</v>
      </c>
      <c r="BK51" s="1080">
        <f t="shared" si="38"/>
        <v>0</v>
      </c>
      <c r="BL51" s="301">
        <f t="shared" si="39"/>
        <v>380.88921653793648</v>
      </c>
      <c r="BM51" s="104">
        <v>0</v>
      </c>
      <c r="BN51" s="302">
        <f t="shared" si="40"/>
        <v>380.88921653793648</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4937.076533044492</v>
      </c>
      <c r="Y52" s="907">
        <f>Parameters!S153</f>
        <v>0.71500000000000008</v>
      </c>
      <c r="Z52" s="907">
        <f t="shared" si="9"/>
        <v>0.4</v>
      </c>
      <c r="AA52" s="906">
        <f t="shared" si="10"/>
        <v>706.00194422536242</v>
      </c>
      <c r="AB52" s="906">
        <f t="shared" si="11"/>
        <v>706.00194422536242</v>
      </c>
      <c r="AC52" s="286">
        <f t="shared" si="12"/>
        <v>0</v>
      </c>
      <c r="AD52" s="906">
        <f t="shared" si="13"/>
        <v>7398.2723105576251</v>
      </c>
      <c r="AE52" s="906">
        <f t="shared" si="14"/>
        <v>343.12003892663114</v>
      </c>
      <c r="AF52" s="1072">
        <f t="shared" si="15"/>
        <v>228.74669261775409</v>
      </c>
      <c r="AG52" s="1448">
        <f t="shared" si="16"/>
        <v>0.13527885904981399</v>
      </c>
      <c r="AH52" s="914">
        <f>'Baseline data (from input)'!AS38*AG52</f>
        <v>4937.076533044492</v>
      </c>
      <c r="AI52" s="907">
        <f>Parameters!S153</f>
        <v>0.71500000000000008</v>
      </c>
      <c r="AJ52" s="907">
        <f t="shared" si="17"/>
        <v>0.4</v>
      </c>
      <c r="AK52" s="906">
        <f t="shared" si="18"/>
        <v>706.00194422536242</v>
      </c>
      <c r="AL52" s="906">
        <f t="shared" si="19"/>
        <v>706.00194422536242</v>
      </c>
      <c r="AM52" s="286">
        <f t="shared" si="20"/>
        <v>0</v>
      </c>
      <c r="AN52" s="906">
        <f t="shared" si="21"/>
        <v>7398.2723105576251</v>
      </c>
      <c r="AO52" s="906">
        <f t="shared" si="22"/>
        <v>343.12003892663114</v>
      </c>
      <c r="AP52" s="1072">
        <f t="shared" si="23"/>
        <v>228.74669261775409</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228.74669261775409</v>
      </c>
      <c r="BD52" s="1080">
        <f t="shared" si="33"/>
        <v>0</v>
      </c>
      <c r="BE52" s="301">
        <f t="shared" si="34"/>
        <v>402.37702660662853</v>
      </c>
      <c r="BF52" s="104">
        <v>0</v>
      </c>
      <c r="BG52" s="302">
        <f t="shared" si="35"/>
        <v>402.37702660662853</v>
      </c>
      <c r="BI52" s="300">
        <f t="shared" si="36"/>
        <v>173.63033398887444</v>
      </c>
      <c r="BJ52" s="301">
        <f t="shared" si="37"/>
        <v>228.74669261775409</v>
      </c>
      <c r="BK52" s="1080">
        <f t="shared" si="38"/>
        <v>0</v>
      </c>
      <c r="BL52" s="301">
        <f t="shared" si="39"/>
        <v>402.37702660662853</v>
      </c>
      <c r="BM52" s="104">
        <v>0</v>
      </c>
      <c r="BN52" s="302">
        <f t="shared" si="40"/>
        <v>402.37702660662853</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4845.9112189982952</v>
      </c>
      <c r="Y53" s="907">
        <f>Parameters!S154</f>
        <v>0.71500000000000008</v>
      </c>
      <c r="Z53" s="907">
        <f t="shared" si="9"/>
        <v>0.4</v>
      </c>
      <c r="AA53" s="906">
        <f t="shared" si="10"/>
        <v>692.96530431675637</v>
      </c>
      <c r="AB53" s="906">
        <f t="shared" si="11"/>
        <v>692.96530431675637</v>
      </c>
      <c r="AC53" s="286">
        <f t="shared" si="12"/>
        <v>0</v>
      </c>
      <c r="AD53" s="906">
        <f t="shared" si="13"/>
        <v>7730.4196165880539</v>
      </c>
      <c r="AE53" s="906">
        <f t="shared" si="14"/>
        <v>360.81799828632762</v>
      </c>
      <c r="AF53" s="1072">
        <f t="shared" si="15"/>
        <v>240.54533219088509</v>
      </c>
      <c r="AG53" s="1448">
        <f t="shared" si="16"/>
        <v>0.13527885904981399</v>
      </c>
      <c r="AH53" s="914">
        <f>'Baseline data (from input)'!AS39*AG53</f>
        <v>4845.9112189982952</v>
      </c>
      <c r="AI53" s="907">
        <f>Parameters!S154</f>
        <v>0.71500000000000008</v>
      </c>
      <c r="AJ53" s="907">
        <f t="shared" si="17"/>
        <v>0.4</v>
      </c>
      <c r="AK53" s="906">
        <f t="shared" si="18"/>
        <v>692.96530431675637</v>
      </c>
      <c r="AL53" s="906">
        <f t="shared" si="19"/>
        <v>692.96530431675637</v>
      </c>
      <c r="AM53" s="286">
        <f t="shared" si="20"/>
        <v>0</v>
      </c>
      <c r="AN53" s="906">
        <f t="shared" si="21"/>
        <v>7730.4196165880539</v>
      </c>
      <c r="AO53" s="906">
        <f t="shared" si="22"/>
        <v>360.81799828632762</v>
      </c>
      <c r="AP53" s="1072">
        <f t="shared" si="23"/>
        <v>240.54533219088509</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240.54533219088509</v>
      </c>
      <c r="BD53" s="1080">
        <f t="shared" si="33"/>
        <v>0</v>
      </c>
      <c r="BE53" s="301">
        <f t="shared" si="34"/>
        <v>423.16044185342292</v>
      </c>
      <c r="BF53" s="104">
        <v>0</v>
      </c>
      <c r="BG53" s="302">
        <f t="shared" si="35"/>
        <v>423.16044185342292</v>
      </c>
      <c r="BI53" s="300">
        <f t="shared" si="36"/>
        <v>182.61510966253783</v>
      </c>
      <c r="BJ53" s="301">
        <f t="shared" si="37"/>
        <v>240.54533219088509</v>
      </c>
      <c r="BK53" s="1080">
        <f t="shared" si="38"/>
        <v>0</v>
      </c>
      <c r="BL53" s="301">
        <f t="shared" si="39"/>
        <v>423.16044185342292</v>
      </c>
      <c r="BM53" s="104">
        <v>0</v>
      </c>
      <c r="BN53" s="302">
        <f t="shared" si="40"/>
        <v>423.16044185342292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5093.0098004915999</v>
      </c>
      <c r="Y54" s="907">
        <f>Parameters!S155</f>
        <v>0.71500000000000008</v>
      </c>
      <c r="Z54" s="907">
        <f t="shared" si="9"/>
        <v>0.4</v>
      </c>
      <c r="AA54" s="906">
        <f t="shared" si="10"/>
        <v>728.30040147029888</v>
      </c>
      <c r="AB54" s="906">
        <f t="shared" si="11"/>
        <v>728.30040147029888</v>
      </c>
      <c r="AC54" s="286">
        <f t="shared" si="12"/>
        <v>0</v>
      </c>
      <c r="AD54" s="906">
        <f t="shared" si="13"/>
        <v>8081.7030045063839</v>
      </c>
      <c r="AE54" s="906">
        <f t="shared" si="14"/>
        <v>377.01701355196911</v>
      </c>
      <c r="AF54" s="1072">
        <f t="shared" si="15"/>
        <v>251.34467570131275</v>
      </c>
      <c r="AG54" s="1448">
        <f t="shared" si="16"/>
        <v>0.13527885904981399</v>
      </c>
      <c r="AH54" s="914">
        <f>'Baseline data (from input)'!AS40*AG54</f>
        <v>5093.0098004915999</v>
      </c>
      <c r="AI54" s="907">
        <f>Parameters!S155</f>
        <v>0.71500000000000008</v>
      </c>
      <c r="AJ54" s="907">
        <f t="shared" si="17"/>
        <v>0.4</v>
      </c>
      <c r="AK54" s="906">
        <f t="shared" si="18"/>
        <v>728.30040147029888</v>
      </c>
      <c r="AL54" s="906">
        <f t="shared" si="19"/>
        <v>728.30040147029888</v>
      </c>
      <c r="AM54" s="286">
        <f t="shared" si="20"/>
        <v>0</v>
      </c>
      <c r="AN54" s="906">
        <f t="shared" si="21"/>
        <v>8081.7030045063839</v>
      </c>
      <c r="AO54" s="906">
        <f t="shared" si="22"/>
        <v>377.01701355196911</v>
      </c>
      <c r="AP54" s="1072">
        <f t="shared" si="23"/>
        <v>251.34467570131275</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251.34467570131275</v>
      </c>
      <c r="BD54" s="1080">
        <f t="shared" si="33"/>
        <v>0</v>
      </c>
      <c r="BE54" s="301">
        <f t="shared" si="34"/>
        <v>442.95937560188946</v>
      </c>
      <c r="BF54" s="104">
        <v>0</v>
      </c>
      <c r="BG54" s="302">
        <f t="shared" si="35"/>
        <v>442.95937560188946</v>
      </c>
      <c r="BI54" s="300">
        <f t="shared" si="36"/>
        <v>191.61469990057671</v>
      </c>
      <c r="BJ54" s="301">
        <f t="shared" si="37"/>
        <v>251.34467570131275</v>
      </c>
      <c r="BK54" s="1080">
        <f t="shared" si="38"/>
        <v>0</v>
      </c>
      <c r="BL54" s="301">
        <f t="shared" si="39"/>
        <v>442.95937560188946</v>
      </c>
      <c r="BM54" s="104">
        <v>0</v>
      </c>
      <c r="BN54" s="302">
        <f t="shared" si="40"/>
        <v>442.95937560188946</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5031.3088159515701</v>
      </c>
      <c r="Y55" s="907">
        <f>Parameters!S156</f>
        <v>0.71500000000000008</v>
      </c>
      <c r="Z55" s="907">
        <f t="shared" si="9"/>
        <v>0.4</v>
      </c>
      <c r="AA55" s="906">
        <f t="shared" si="10"/>
        <v>719.47716068107457</v>
      </c>
      <c r="AB55" s="906">
        <f t="shared" si="11"/>
        <v>719.47716068107457</v>
      </c>
      <c r="AC55" s="286">
        <f t="shared" si="12"/>
        <v>0</v>
      </c>
      <c r="AD55" s="906">
        <f t="shared" si="13"/>
        <v>8407.0308586433748</v>
      </c>
      <c r="AE55" s="906">
        <f t="shared" si="14"/>
        <v>394.14930654408499</v>
      </c>
      <c r="AF55" s="1072">
        <f t="shared" si="15"/>
        <v>262.76620436272333</v>
      </c>
      <c r="AG55" s="1448">
        <f t="shared" si="16"/>
        <v>0.13527885904981399</v>
      </c>
      <c r="AH55" s="914">
        <f>'Baseline data (from input)'!AS41*AG55</f>
        <v>5031.3088159515701</v>
      </c>
      <c r="AI55" s="907">
        <f>Parameters!S156</f>
        <v>0.71500000000000008</v>
      </c>
      <c r="AJ55" s="907">
        <f t="shared" si="17"/>
        <v>0.4</v>
      </c>
      <c r="AK55" s="906">
        <f t="shared" si="18"/>
        <v>719.47716068107457</v>
      </c>
      <c r="AL55" s="906">
        <f t="shared" si="19"/>
        <v>719.47716068107457</v>
      </c>
      <c r="AM55" s="286">
        <f t="shared" si="20"/>
        <v>0</v>
      </c>
      <c r="AN55" s="906">
        <f t="shared" si="21"/>
        <v>8407.0308586433748</v>
      </c>
      <c r="AO55" s="906">
        <f t="shared" si="22"/>
        <v>394.14930654408499</v>
      </c>
      <c r="AP55" s="1072">
        <f t="shared" si="23"/>
        <v>262.76620436272333</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262.76620436272333</v>
      </c>
      <c r="BD55" s="1080">
        <f t="shared" si="33"/>
        <v>0</v>
      </c>
      <c r="BE55" s="301">
        <f t="shared" si="34"/>
        <v>463.41205624516158</v>
      </c>
      <c r="BF55" s="104">
        <v>0</v>
      </c>
      <c r="BG55" s="302">
        <f t="shared" si="35"/>
        <v>463.41205624516158</v>
      </c>
      <c r="BI55" s="300">
        <f t="shared" si="36"/>
        <v>200.64585188243828</v>
      </c>
      <c r="BJ55" s="301">
        <f t="shared" si="37"/>
        <v>262.76620436272333</v>
      </c>
      <c r="BK55" s="1080">
        <f t="shared" si="38"/>
        <v>0</v>
      </c>
      <c r="BL55" s="301">
        <f t="shared" si="39"/>
        <v>463.41205624516158</v>
      </c>
      <c r="BM55" s="104">
        <v>0</v>
      </c>
      <c r="BN55" s="302">
        <f t="shared" si="40"/>
        <v>463.41205624516158</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5032.2061387093881</v>
      </c>
      <c r="Y56" s="907">
        <f>Parameters!S157</f>
        <v>0.71500000000000008</v>
      </c>
      <c r="Z56" s="907">
        <f t="shared" si="9"/>
        <v>0.4</v>
      </c>
      <c r="AA56" s="906">
        <f t="shared" si="10"/>
        <v>719.60547783544268</v>
      </c>
      <c r="AB56" s="906">
        <f t="shared" si="11"/>
        <v>719.60547783544268</v>
      </c>
      <c r="AC56" s="286">
        <f t="shared" si="12"/>
        <v>0</v>
      </c>
      <c r="AD56" s="906">
        <f t="shared" si="13"/>
        <v>8716.6206032625232</v>
      </c>
      <c r="AE56" s="906">
        <f t="shared" si="14"/>
        <v>410.01573321629377</v>
      </c>
      <c r="AF56" s="1072">
        <f t="shared" si="15"/>
        <v>273.34382214419583</v>
      </c>
      <c r="AG56" s="1448">
        <f t="shared" si="16"/>
        <v>0.13527885904981399</v>
      </c>
      <c r="AH56" s="914">
        <f>'Baseline data (from input)'!AS42*AG56</f>
        <v>5032.2061387093881</v>
      </c>
      <c r="AI56" s="907">
        <f>Parameters!S157</f>
        <v>0.71500000000000008</v>
      </c>
      <c r="AJ56" s="907">
        <f t="shared" si="17"/>
        <v>0.4</v>
      </c>
      <c r="AK56" s="906">
        <f t="shared" si="18"/>
        <v>719.60547783544268</v>
      </c>
      <c r="AL56" s="906">
        <f t="shared" si="19"/>
        <v>719.60547783544268</v>
      </c>
      <c r="AM56" s="286">
        <f t="shared" si="20"/>
        <v>0</v>
      </c>
      <c r="AN56" s="906">
        <f t="shared" si="21"/>
        <v>8716.6206032625232</v>
      </c>
      <c r="AO56" s="906">
        <f t="shared" si="22"/>
        <v>410.01573321629377</v>
      </c>
      <c r="AP56" s="1072">
        <f t="shared" si="23"/>
        <v>273.34382214419583</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273.34382214419583</v>
      </c>
      <c r="BD56" s="1080">
        <f t="shared" si="33"/>
        <v>0</v>
      </c>
      <c r="BE56" s="301">
        <f t="shared" si="34"/>
        <v>483.06410133942916</v>
      </c>
      <c r="BF56" s="104">
        <v>0</v>
      </c>
      <c r="BG56" s="302">
        <f t="shared" si="35"/>
        <v>483.06410133942916</v>
      </c>
      <c r="BI56" s="300">
        <f t="shared" si="36"/>
        <v>209.7202791952333</v>
      </c>
      <c r="BJ56" s="301">
        <f t="shared" si="37"/>
        <v>273.34382214419583</v>
      </c>
      <c r="BK56" s="1080">
        <f t="shared" si="38"/>
        <v>0</v>
      </c>
      <c r="BL56" s="301">
        <f t="shared" si="39"/>
        <v>483.06410133942916</v>
      </c>
      <c r="BM56" s="104">
        <v>0</v>
      </c>
      <c r="BN56" s="302">
        <f t="shared" si="40"/>
        <v>483.06410133942916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5137.9194654585808</v>
      </c>
      <c r="Y57" s="907">
        <f>Parameters!S158</f>
        <v>0.71500000000000008</v>
      </c>
      <c r="Z57" s="907">
        <f t="shared" si="9"/>
        <v>0.4</v>
      </c>
      <c r="AA57" s="906">
        <f t="shared" si="10"/>
        <v>734.72248356057719</v>
      </c>
      <c r="AB57" s="906">
        <f t="shared" si="11"/>
        <v>734.72248356057719</v>
      </c>
      <c r="AC57" s="286">
        <f t="shared" si="12"/>
        <v>0</v>
      </c>
      <c r="AD57" s="906">
        <f t="shared" si="13"/>
        <v>9026.228483593055</v>
      </c>
      <c r="AE57" s="906">
        <f t="shared" si="14"/>
        <v>425.11460323004661</v>
      </c>
      <c r="AF57" s="1072">
        <f t="shared" si="15"/>
        <v>283.40973548669774</v>
      </c>
      <c r="AG57" s="1448">
        <f t="shared" si="16"/>
        <v>0.13527885904981399</v>
      </c>
      <c r="AH57" s="914">
        <f>'Baseline data (from input)'!AS43*AG57</f>
        <v>5137.9194654585808</v>
      </c>
      <c r="AI57" s="907">
        <f>Parameters!S158</f>
        <v>0.71500000000000008</v>
      </c>
      <c r="AJ57" s="907">
        <f t="shared" si="17"/>
        <v>0.4</v>
      </c>
      <c r="AK57" s="906">
        <f t="shared" si="18"/>
        <v>734.72248356057719</v>
      </c>
      <c r="AL57" s="906">
        <f t="shared" si="19"/>
        <v>734.72248356057719</v>
      </c>
      <c r="AM57" s="286">
        <f t="shared" si="20"/>
        <v>0</v>
      </c>
      <c r="AN57" s="906">
        <f t="shared" si="21"/>
        <v>9026.228483593055</v>
      </c>
      <c r="AO57" s="906">
        <f t="shared" si="22"/>
        <v>425.11460323004661</v>
      </c>
      <c r="AP57" s="1072">
        <f t="shared" si="23"/>
        <v>283.40973548669774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283.40973548669774</v>
      </c>
      <c r="BD57" s="1080">
        <f t="shared" si="33"/>
        <v>0</v>
      </c>
      <c r="BE57" s="301">
        <f t="shared" si="34"/>
        <v>502.25163079537447</v>
      </c>
      <c r="BF57" s="104">
        <v>0</v>
      </c>
      <c r="BG57" s="302">
        <f t="shared" si="35"/>
        <v>502.25163079537447</v>
      </c>
      <c r="BI57" s="300">
        <f t="shared" si="36"/>
        <v>218.84189530867673</v>
      </c>
      <c r="BJ57" s="301">
        <f t="shared" si="37"/>
        <v>283.40973548669774</v>
      </c>
      <c r="BK57" s="1080">
        <f t="shared" si="38"/>
        <v>0</v>
      </c>
      <c r="BL57" s="301">
        <f t="shared" si="39"/>
        <v>502.25163079537447</v>
      </c>
      <c r="BM57" s="104">
        <v>0</v>
      </c>
      <c r="BN57" s="302">
        <f t="shared" si="40"/>
        <v>502.25163079537447</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5353.7188932687131</v>
      </c>
      <c r="Y58" s="907">
        <f>Parameters!S159</f>
        <v>0.71500000000000008</v>
      </c>
      <c r="Z58" s="907">
        <f t="shared" si="9"/>
        <v>0.4</v>
      </c>
      <c r="AA58" s="906">
        <f t="shared" si="10"/>
        <v>765.58180173742619</v>
      </c>
      <c r="AB58" s="906">
        <f t="shared" si="11"/>
        <v>765.58180173742619</v>
      </c>
      <c r="AC58" s="286">
        <f t="shared" si="12"/>
        <v>0</v>
      </c>
      <c r="AD58" s="906">
        <f t="shared" si="13"/>
        <v>9351.5959275976002</v>
      </c>
      <c r="AE58" s="906">
        <f t="shared" si="14"/>
        <v>440.21435773288073</v>
      </c>
      <c r="AF58" s="1072">
        <f t="shared" si="15"/>
        <v>293.47623848858717</v>
      </c>
      <c r="AG58" s="1448">
        <f t="shared" si="16"/>
        <v>0.13527885904981399</v>
      </c>
      <c r="AH58" s="914">
        <f>'Baseline data (from input)'!AS44*AG58</f>
        <v>5353.7188932687131</v>
      </c>
      <c r="AI58" s="907">
        <f>Parameters!S159</f>
        <v>0.71500000000000008</v>
      </c>
      <c r="AJ58" s="907">
        <f t="shared" si="17"/>
        <v>0.4</v>
      </c>
      <c r="AK58" s="906">
        <f t="shared" si="18"/>
        <v>765.58180173742619</v>
      </c>
      <c r="AL58" s="906">
        <f t="shared" si="19"/>
        <v>765.58180173742619</v>
      </c>
      <c r="AM58" s="286">
        <f t="shared" si="20"/>
        <v>0</v>
      </c>
      <c r="AN58" s="906">
        <f t="shared" si="21"/>
        <v>9351.5959275976002</v>
      </c>
      <c r="AO58" s="906">
        <f t="shared" si="22"/>
        <v>440.21435773288073</v>
      </c>
      <c r="AP58" s="1072">
        <f t="shared" si="23"/>
        <v>293.47623848858717</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293.47623848858717</v>
      </c>
      <c r="BD58" s="1080">
        <f t="shared" si="33"/>
        <v>0</v>
      </c>
      <c r="BE58" s="301">
        <f t="shared" si="34"/>
        <v>521.48403488314</v>
      </c>
      <c r="BF58" s="104">
        <v>0</v>
      </c>
      <c r="BG58" s="302">
        <f t="shared" si="35"/>
        <v>521.48403488314</v>
      </c>
      <c r="BI58" s="300">
        <f t="shared" si="36"/>
        <v>228.00779639455286</v>
      </c>
      <c r="BJ58" s="301">
        <f t="shared" si="37"/>
        <v>293.47623848858717</v>
      </c>
      <c r="BK58" s="1080">
        <f t="shared" si="38"/>
        <v>0</v>
      </c>
      <c r="BL58" s="301">
        <f t="shared" si="39"/>
        <v>521.48403488314</v>
      </c>
      <c r="BM58" s="104">
        <v>0</v>
      </c>
      <c r="BN58" s="302">
        <f t="shared" si="40"/>
        <v>521.48403488314</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5481.9289052421027</v>
      </c>
      <c r="Y59" s="907">
        <f>Parameters!S160</f>
        <v>0.71500000000000008</v>
      </c>
      <c r="Z59" s="907">
        <f t="shared" si="9"/>
        <v>0.4</v>
      </c>
      <c r="AA59" s="906">
        <f t="shared" si="10"/>
        <v>783.91583344962078</v>
      </c>
      <c r="AB59" s="906">
        <f t="shared" si="11"/>
        <v>783.91583344962078</v>
      </c>
      <c r="AC59" s="286">
        <f t="shared" si="12"/>
        <v>0</v>
      </c>
      <c r="AD59" s="906">
        <f t="shared" si="13"/>
        <v>9679.4290458215073</v>
      </c>
      <c r="AE59" s="906">
        <f t="shared" si="14"/>
        <v>456.08271522571408</v>
      </c>
      <c r="AF59" s="1072">
        <f t="shared" si="15"/>
        <v>304.05514348380939</v>
      </c>
      <c r="AG59" s="1448">
        <f t="shared" si="16"/>
        <v>0.13527885904981399</v>
      </c>
      <c r="AH59" s="914">
        <f>'Baseline data (from input)'!AS45*AG59</f>
        <v>5481.9289052421027</v>
      </c>
      <c r="AI59" s="907">
        <f>Parameters!S160</f>
        <v>0.71500000000000008</v>
      </c>
      <c r="AJ59" s="907">
        <f t="shared" si="17"/>
        <v>0.4</v>
      </c>
      <c r="AK59" s="906">
        <f t="shared" si="18"/>
        <v>783.91583344962078</v>
      </c>
      <c r="AL59" s="906">
        <f t="shared" si="19"/>
        <v>783.91583344962078</v>
      </c>
      <c r="AM59" s="286">
        <f t="shared" si="20"/>
        <v>0</v>
      </c>
      <c r="AN59" s="906">
        <f t="shared" si="21"/>
        <v>9679.4290458215073</v>
      </c>
      <c r="AO59" s="906">
        <f t="shared" si="22"/>
        <v>456.08271522571408</v>
      </c>
      <c r="AP59" s="1072">
        <f t="shared" si="23"/>
        <v>304.05514348380939</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304.05514348380939</v>
      </c>
      <c r="BD59" s="1080">
        <f t="shared" si="33"/>
        <v>0</v>
      </c>
      <c r="BE59" s="301">
        <f t="shared" si="34"/>
        <v>541.26072527781344</v>
      </c>
      <c r="BF59" s="104">
        <v>0</v>
      </c>
      <c r="BG59" s="302">
        <f t="shared" si="35"/>
        <v>541.26072527781344</v>
      </c>
      <c r="BI59" s="300">
        <f t="shared" si="36"/>
        <v>237.20558179400405</v>
      </c>
      <c r="BJ59" s="301">
        <f t="shared" si="37"/>
        <v>304.05514348380939</v>
      </c>
      <c r="BK59" s="1080">
        <f t="shared" si="38"/>
        <v>0</v>
      </c>
      <c r="BL59" s="301">
        <f t="shared" si="39"/>
        <v>541.26072527781344</v>
      </c>
      <c r="BM59" s="104">
        <v>0</v>
      </c>
      <c r="BN59" s="302">
        <f t="shared" si="40"/>
        <v>541.26072527781344</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5464.50812041274</v>
      </c>
      <c r="Y60" s="907">
        <f>Parameters!S161</f>
        <v>0.71500000000000008</v>
      </c>
      <c r="Z60" s="907">
        <f t="shared" si="9"/>
        <v>0.4</v>
      </c>
      <c r="AA60" s="906">
        <f t="shared" si="10"/>
        <v>781.42466121902203</v>
      </c>
      <c r="AB60" s="906">
        <f t="shared" si="11"/>
        <v>781.42466121902203</v>
      </c>
      <c r="AC60" s="286">
        <f t="shared" si="12"/>
        <v>0</v>
      </c>
      <c r="AD60" s="906">
        <f t="shared" si="13"/>
        <v>9988.7823819713103</v>
      </c>
      <c r="AE60" s="906">
        <f t="shared" si="14"/>
        <v>472.07132506921954</v>
      </c>
      <c r="AF60" s="1072">
        <f t="shared" si="15"/>
        <v>314.71421671281303</v>
      </c>
      <c r="AG60" s="1448">
        <f t="shared" si="16"/>
        <v>0.13527885904981399</v>
      </c>
      <c r="AH60" s="914">
        <f>'Baseline data (from input)'!AS46*AG60</f>
        <v>5464.50812041274</v>
      </c>
      <c r="AI60" s="907">
        <f>Parameters!S161</f>
        <v>0.71500000000000008</v>
      </c>
      <c r="AJ60" s="907">
        <f t="shared" si="17"/>
        <v>0.4</v>
      </c>
      <c r="AK60" s="906">
        <f t="shared" si="18"/>
        <v>781.42466121902203</v>
      </c>
      <c r="AL60" s="906">
        <f t="shared" si="19"/>
        <v>781.42466121902203</v>
      </c>
      <c r="AM60" s="286">
        <f t="shared" si="20"/>
        <v>0</v>
      </c>
      <c r="AN60" s="906">
        <f t="shared" si="21"/>
        <v>9988.7823819713103</v>
      </c>
      <c r="AO60" s="906">
        <f t="shared" si="22"/>
        <v>472.07132506921954</v>
      </c>
      <c r="AP60" s="1072">
        <f t="shared" si="23"/>
        <v>314.71421671281303</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314.71421671281303</v>
      </c>
      <c r="BD60" s="1080">
        <f t="shared" si="33"/>
        <v>0</v>
      </c>
      <c r="BE60" s="301">
        <f t="shared" si="34"/>
        <v>561.12863629949061</v>
      </c>
      <c r="BF60" s="104">
        <v>0</v>
      </c>
      <c r="BG60" s="302">
        <f t="shared" si="35"/>
        <v>561.12863629949061</v>
      </c>
      <c r="BI60" s="300">
        <f t="shared" si="36"/>
        <v>246.41441958667755</v>
      </c>
      <c r="BJ60" s="301">
        <f t="shared" si="37"/>
        <v>314.71421671281303</v>
      </c>
      <c r="BK60" s="1080">
        <f t="shared" si="38"/>
        <v>0</v>
      </c>
      <c r="BL60" s="301">
        <f t="shared" si="39"/>
        <v>561.12863629949061</v>
      </c>
      <c r="BM60" s="104">
        <v>0</v>
      </c>
      <c r="BN60" s="302">
        <f t="shared" si="40"/>
        <v>561.12863629949061</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5408.8674127689983</v>
      </c>
      <c r="Y61" s="907">
        <f>Parameters!S162</f>
        <v>0.71500000000000008</v>
      </c>
      <c r="Z61" s="907">
        <f t="shared" si="9"/>
        <v>0.4</v>
      </c>
      <c r="AA61" s="906">
        <f t="shared" si="10"/>
        <v>773.46804002596696</v>
      </c>
      <c r="AB61" s="906">
        <f t="shared" si="11"/>
        <v>773.46804002596696</v>
      </c>
      <c r="AC61" s="286">
        <f t="shared" si="12"/>
        <v>0</v>
      </c>
      <c r="AD61" s="906">
        <f t="shared" si="13"/>
        <v>10275.091756691409</v>
      </c>
      <c r="AE61" s="906">
        <f t="shared" si="14"/>
        <v>487.15866530586948</v>
      </c>
      <c r="AF61" s="1072">
        <f t="shared" si="15"/>
        <v>324.77244353724632</v>
      </c>
      <c r="AG61" s="1448">
        <f t="shared" si="16"/>
        <v>0.13527885904981399</v>
      </c>
      <c r="AH61" s="914">
        <f>'Baseline data (from input)'!AS47*AG61</f>
        <v>5408.8674127689983</v>
      </c>
      <c r="AI61" s="907">
        <f>Parameters!S162</f>
        <v>0.71500000000000008</v>
      </c>
      <c r="AJ61" s="907">
        <f t="shared" si="17"/>
        <v>0.4</v>
      </c>
      <c r="AK61" s="906">
        <f t="shared" si="18"/>
        <v>773.46804002596696</v>
      </c>
      <c r="AL61" s="906">
        <f t="shared" si="19"/>
        <v>773.46804002596696</v>
      </c>
      <c r="AM61" s="286">
        <f t="shared" si="20"/>
        <v>0</v>
      </c>
      <c r="AN61" s="906">
        <f t="shared" si="21"/>
        <v>10275.091756691409</v>
      </c>
      <c r="AO61" s="906">
        <f t="shared" si="22"/>
        <v>487.15866530586948</v>
      </c>
      <c r="AP61" s="1072">
        <f t="shared" si="23"/>
        <v>324.77244353724632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324.77244353724632</v>
      </c>
      <c r="BD61" s="1080">
        <f t="shared" si="33"/>
        <v>0</v>
      </c>
      <c r="BE61" s="301">
        <f t="shared" si="34"/>
        <v>580.37368450269048</v>
      </c>
      <c r="BF61" s="104">
        <v>0</v>
      </c>
      <c r="BG61" s="302">
        <f t="shared" si="35"/>
        <v>580.37368450269048</v>
      </c>
      <c r="BI61" s="300">
        <f t="shared" si="36"/>
        <v>255.60124096544416</v>
      </c>
      <c r="BJ61" s="301">
        <f t="shared" si="37"/>
        <v>324.77244353724632</v>
      </c>
      <c r="BK61" s="1080">
        <f t="shared" si="38"/>
        <v>0</v>
      </c>
      <c r="BL61" s="301">
        <f t="shared" si="39"/>
        <v>580.37368450269048</v>
      </c>
      <c r="BM61" s="104">
        <v>0</v>
      </c>
      <c r="BN61" s="302">
        <f t="shared" si="40"/>
        <v>580.37368450269048</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5293.2768391075424</v>
      </c>
      <c r="Y62" s="907">
        <f>Parameters!S163</f>
        <v>0.71500000000000008</v>
      </c>
      <c r="Z62" s="907">
        <f t="shared" si="9"/>
        <v>0.4</v>
      </c>
      <c r="AA62" s="906">
        <f t="shared" si="10"/>
        <v>756.93858799237864</v>
      </c>
      <c r="AB62" s="906">
        <f t="shared" si="11"/>
        <v>756.93858799237864</v>
      </c>
      <c r="AC62" s="286">
        <f t="shared" si="12"/>
        <v>0</v>
      </c>
      <c r="AD62" s="906">
        <f t="shared" si="13"/>
        <v>10530.908206401979</v>
      </c>
      <c r="AE62" s="906">
        <f t="shared" si="14"/>
        <v>501.12213828180938</v>
      </c>
      <c r="AF62" s="1072">
        <f t="shared" si="15"/>
        <v>334.08142552120626</v>
      </c>
      <c r="AG62" s="1448">
        <f t="shared" si="16"/>
        <v>0.13527885904981399</v>
      </c>
      <c r="AH62" s="914">
        <f>'Baseline data (from input)'!AS48*AG62</f>
        <v>5293.2768391075424</v>
      </c>
      <c r="AI62" s="907">
        <f>Parameters!S163</f>
        <v>0.71500000000000008</v>
      </c>
      <c r="AJ62" s="907">
        <f t="shared" si="17"/>
        <v>0.4</v>
      </c>
      <c r="AK62" s="906">
        <f t="shared" si="18"/>
        <v>756.93858799237864</v>
      </c>
      <c r="AL62" s="906">
        <f t="shared" si="19"/>
        <v>756.93858799237864</v>
      </c>
      <c r="AM62" s="286">
        <f t="shared" si="20"/>
        <v>0</v>
      </c>
      <c r="AN62" s="906">
        <f t="shared" si="21"/>
        <v>10530.908206401979</v>
      </c>
      <c r="AO62" s="906">
        <f t="shared" si="22"/>
        <v>501.12213828180938</v>
      </c>
      <c r="AP62" s="1072">
        <f t="shared" si="23"/>
        <v>334.08142552120626</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334.08142552120626</v>
      </c>
      <c r="BD62" s="1080">
        <f t="shared" si="33"/>
        <v>0</v>
      </c>
      <c r="BE62" s="301">
        <f t="shared" si="34"/>
        <v>598.86300288270945</v>
      </c>
      <c r="BF62" s="104">
        <v>0</v>
      </c>
      <c r="BG62" s="302">
        <f t="shared" si="35"/>
        <v>598.86300288270945</v>
      </c>
      <c r="BI62" s="300">
        <f t="shared" si="36"/>
        <v>264.78157736150325</v>
      </c>
      <c r="BJ62" s="301">
        <f t="shared" si="37"/>
        <v>334.08142552120626</v>
      </c>
      <c r="BK62" s="1080">
        <f t="shared" si="38"/>
        <v>0</v>
      </c>
      <c r="BL62" s="301">
        <f t="shared" si="39"/>
        <v>598.86300288270945</v>
      </c>
      <c r="BM62" s="104">
        <v>0</v>
      </c>
      <c r="BN62" s="302">
        <f t="shared" si="40"/>
        <v>598.86300288270945</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5358.5704629681513</v>
      </c>
      <c r="Y63" s="907">
        <f>Parameters!S164</f>
        <v>0.71500000000000008</v>
      </c>
      <c r="Z63" s="907">
        <f t="shared" si="9"/>
        <v>0.4</v>
      </c>
      <c r="AA63" s="906">
        <f t="shared" si="10"/>
        <v>766.27557620444577</v>
      </c>
      <c r="AB63" s="906">
        <f t="shared" si="11"/>
        <v>766.27557620444577</v>
      </c>
      <c r="AC63" s="286">
        <f t="shared" si="12"/>
        <v>0</v>
      </c>
      <c r="AD63" s="906">
        <f t="shared" si="13"/>
        <v>10783.585328850046</v>
      </c>
      <c r="AE63" s="906">
        <f t="shared" si="14"/>
        <v>513.59845375637803</v>
      </c>
      <c r="AF63" s="1072">
        <f t="shared" si="15"/>
        <v>342.39896917091869</v>
      </c>
      <c r="AG63" s="1448">
        <f t="shared" si="16"/>
        <v>0.13527885904981399</v>
      </c>
      <c r="AH63" s="914">
        <f>'Baseline data (from input)'!AS49*AG63</f>
        <v>5358.5704629681513</v>
      </c>
      <c r="AI63" s="907">
        <f>Parameters!S164</f>
        <v>0.71500000000000008</v>
      </c>
      <c r="AJ63" s="907">
        <f t="shared" si="17"/>
        <v>0.4</v>
      </c>
      <c r="AK63" s="906">
        <f t="shared" si="18"/>
        <v>766.27557620444577</v>
      </c>
      <c r="AL63" s="906">
        <f t="shared" si="19"/>
        <v>766.27557620444577</v>
      </c>
      <c r="AM63" s="286">
        <f t="shared" si="20"/>
        <v>0</v>
      </c>
      <c r="AN63" s="906">
        <f t="shared" si="21"/>
        <v>10783.585328850046</v>
      </c>
      <c r="AO63" s="906">
        <f t="shared" si="22"/>
        <v>513.59845375637803</v>
      </c>
      <c r="AP63" s="1072">
        <f t="shared" si="23"/>
        <v>342.39896917091869</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342.39896917091869</v>
      </c>
      <c r="BD63" s="1080">
        <f t="shared" si="33"/>
        <v>0</v>
      </c>
      <c r="BE63" s="301">
        <f t="shared" si="34"/>
        <v>616.36977430338607</v>
      </c>
      <c r="BF63" s="104">
        <v>0</v>
      </c>
      <c r="BG63" s="302">
        <f t="shared" si="35"/>
        <v>616.36977430338607</v>
      </c>
      <c r="BI63" s="300">
        <f t="shared" si="36"/>
        <v>273.97080513246732</v>
      </c>
      <c r="BJ63" s="301">
        <f t="shared" si="37"/>
        <v>342.39896917091869</v>
      </c>
      <c r="BK63" s="1080">
        <f t="shared" si="38"/>
        <v>0</v>
      </c>
      <c r="BL63" s="301">
        <f t="shared" si="39"/>
        <v>616.36977430338607</v>
      </c>
      <c r="BM63" s="104">
        <v>0</v>
      </c>
      <c r="BN63" s="302">
        <f t="shared" si="40"/>
        <v>616.36977430338607</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5530.0447739945357</v>
      </c>
      <c r="Y64" s="907">
        <f>Parameters!S165</f>
        <v>0.71500000000000008</v>
      </c>
      <c r="Z64" s="907">
        <f t="shared" si="9"/>
        <v>0.4</v>
      </c>
      <c r="AA64" s="906">
        <f t="shared" si="10"/>
        <v>790.79640268121864</v>
      </c>
      <c r="AB64" s="906">
        <f t="shared" si="11"/>
        <v>790.79640268121864</v>
      </c>
      <c r="AC64" s="286">
        <f t="shared" si="12"/>
        <v>0</v>
      </c>
      <c r="AD64" s="906">
        <f t="shared" si="13"/>
        <v>11048.460069097591</v>
      </c>
      <c r="AE64" s="906">
        <f t="shared" si="14"/>
        <v>525.92166243367387</v>
      </c>
      <c r="AF64" s="1072">
        <f t="shared" si="15"/>
        <v>350.61444162244925</v>
      </c>
      <c r="AG64" s="1448">
        <f t="shared" si="16"/>
        <v>0.13527885904981399</v>
      </c>
      <c r="AH64" s="914">
        <f>'Baseline data (from input)'!AS50*AG64</f>
        <v>5530.0447739945357</v>
      </c>
      <c r="AI64" s="907">
        <f>Parameters!S165</f>
        <v>0.71500000000000008</v>
      </c>
      <c r="AJ64" s="907">
        <f t="shared" si="17"/>
        <v>0.4</v>
      </c>
      <c r="AK64" s="906">
        <f t="shared" si="18"/>
        <v>790.79640268121864</v>
      </c>
      <c r="AL64" s="906">
        <f t="shared" si="19"/>
        <v>790.79640268121864</v>
      </c>
      <c r="AM64" s="286">
        <f t="shared" si="20"/>
        <v>0</v>
      </c>
      <c r="AN64" s="906">
        <f t="shared" si="21"/>
        <v>11048.460069097591</v>
      </c>
      <c r="AO64" s="906">
        <f t="shared" si="22"/>
        <v>525.92166243367387</v>
      </c>
      <c r="AP64" s="1072">
        <f t="shared" si="23"/>
        <v>350.61444162244925</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350.61444162244925</v>
      </c>
      <c r="BD64" s="1080">
        <f t="shared" si="33"/>
        <v>0</v>
      </c>
      <c r="BE64" s="301">
        <f t="shared" si="34"/>
        <v>633.79799234458801</v>
      </c>
      <c r="BF64" s="104">
        <v>0</v>
      </c>
      <c r="BG64" s="302">
        <f t="shared" si="35"/>
        <v>633.79799234458801</v>
      </c>
      <c r="BI64" s="300">
        <f t="shared" si="36"/>
        <v>283.18355072213882</v>
      </c>
      <c r="BJ64" s="301">
        <f t="shared" si="37"/>
        <v>350.61444162244925</v>
      </c>
      <c r="BK64" s="1080">
        <f t="shared" si="38"/>
        <v>0</v>
      </c>
      <c r="BL64" s="301">
        <f t="shared" si="39"/>
        <v>633.79799234458801</v>
      </c>
      <c r="BM64" s="104">
        <v>0</v>
      </c>
      <c r="BN64" s="302">
        <f t="shared" si="40"/>
        <v>633.79799234458801</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5701.4759086017139</v>
      </c>
      <c r="Y65" s="907">
        <f>Parameters!S166</f>
        <v>0.71500000000000008</v>
      </c>
      <c r="Z65" s="907">
        <f t="shared" si="9"/>
        <v>0.4</v>
      </c>
      <c r="AA65" s="906">
        <f t="shared" si="10"/>
        <v>815.31105493004509</v>
      </c>
      <c r="AB65" s="906">
        <f t="shared" si="11"/>
        <v>815.31105493004509</v>
      </c>
      <c r="AC65" s="286">
        <f t="shared" si="12"/>
        <v>0</v>
      </c>
      <c r="AD65" s="906">
        <f t="shared" si="13"/>
        <v>11324.931368076866</v>
      </c>
      <c r="AE65" s="906">
        <f t="shared" si="14"/>
        <v>538.8397559507705</v>
      </c>
      <c r="AF65" s="1072">
        <f t="shared" si="15"/>
        <v>359.22650396718035</v>
      </c>
      <c r="AG65" s="1448">
        <f t="shared" si="16"/>
        <v>0.13527885904981399</v>
      </c>
      <c r="AH65" s="914">
        <f>'Baseline data (from input)'!AS51*AG65</f>
        <v>5701.4759086017139</v>
      </c>
      <c r="AI65" s="907">
        <f>Parameters!S166</f>
        <v>0.71500000000000008</v>
      </c>
      <c r="AJ65" s="907">
        <f t="shared" si="17"/>
        <v>0.4</v>
      </c>
      <c r="AK65" s="906">
        <f t="shared" si="18"/>
        <v>815.31105493004509</v>
      </c>
      <c r="AL65" s="906">
        <f t="shared" si="19"/>
        <v>815.31105493004509</v>
      </c>
      <c r="AM65" s="286">
        <f t="shared" si="20"/>
        <v>0</v>
      </c>
      <c r="AN65" s="906">
        <f t="shared" si="21"/>
        <v>11324.931368076866</v>
      </c>
      <c r="AO65" s="906">
        <f t="shared" si="22"/>
        <v>538.8397559507705</v>
      </c>
      <c r="AP65" s="1072">
        <f t="shared" si="23"/>
        <v>359.22650396718035</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359.22650396718035</v>
      </c>
      <c r="BD65" s="1080">
        <f t="shared" si="33"/>
        <v>0</v>
      </c>
      <c r="BE65" s="301">
        <f t="shared" si="34"/>
        <v>651.66083360466996</v>
      </c>
      <c r="BF65" s="104">
        <v>0</v>
      </c>
      <c r="BG65" s="302">
        <f t="shared" si="35"/>
        <v>651.66083360466996</v>
      </c>
      <c r="BI65" s="300">
        <f t="shared" si="36"/>
        <v>292.43432963748961</v>
      </c>
      <c r="BJ65" s="301">
        <f t="shared" si="37"/>
        <v>359.22650396718035</v>
      </c>
      <c r="BK65" s="1080">
        <f t="shared" si="38"/>
        <v>0</v>
      </c>
      <c r="BL65" s="301">
        <f t="shared" si="39"/>
        <v>651.66083360466996</v>
      </c>
      <c r="BM65" s="104">
        <v>0</v>
      </c>
      <c r="BN65" s="302">
        <f t="shared" si="40"/>
        <v>651.66083360466996</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5946.6393134332529</v>
      </c>
      <c r="Y66" s="907">
        <f>Parameters!S167</f>
        <v>0.71500000000000008</v>
      </c>
      <c r="Z66" s="907">
        <f t="shared" si="9"/>
        <v>0.4</v>
      </c>
      <c r="AA66" s="906">
        <f t="shared" si="10"/>
        <v>850.36942182095527</v>
      </c>
      <c r="AB66" s="906">
        <f t="shared" si="11"/>
        <v>850.36942182095527</v>
      </c>
      <c r="AC66" s="286">
        <f t="shared" si="12"/>
        <v>0</v>
      </c>
      <c r="AD66" s="906">
        <f t="shared" si="13"/>
        <v>11622.977369586797</v>
      </c>
      <c r="AE66" s="906">
        <f t="shared" si="14"/>
        <v>552.32342031102496</v>
      </c>
      <c r="AF66" s="1072">
        <f t="shared" si="15"/>
        <v>368.21561354068331</v>
      </c>
      <c r="AG66" s="1448">
        <f t="shared" si="16"/>
        <v>0.13527885904981399</v>
      </c>
      <c r="AH66" s="914">
        <f>'Baseline data (from input)'!AS52*AG66</f>
        <v>5946.6393134332529</v>
      </c>
      <c r="AI66" s="907">
        <f>Parameters!S167</f>
        <v>0.71500000000000008</v>
      </c>
      <c r="AJ66" s="907">
        <f t="shared" si="17"/>
        <v>0.4</v>
      </c>
      <c r="AK66" s="906">
        <f t="shared" si="18"/>
        <v>850.36942182095527</v>
      </c>
      <c r="AL66" s="906">
        <f t="shared" si="19"/>
        <v>850.36942182095527</v>
      </c>
      <c r="AM66" s="286">
        <f t="shared" si="20"/>
        <v>0</v>
      </c>
      <c r="AN66" s="906">
        <f t="shared" si="21"/>
        <v>11622.977369586797</v>
      </c>
      <c r="AO66" s="906">
        <f t="shared" si="22"/>
        <v>552.32342031102496</v>
      </c>
      <c r="AP66" s="1072">
        <f t="shared" si="23"/>
        <v>368.21561354068331</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368.21561354068331</v>
      </c>
      <c r="BD66" s="1080">
        <f t="shared" si="33"/>
        <v>0</v>
      </c>
      <c r="BE66" s="301">
        <f t="shared" si="34"/>
        <v>669.95376780304787</v>
      </c>
      <c r="BF66" s="104">
        <v>0</v>
      </c>
      <c r="BG66" s="302">
        <f t="shared" si="35"/>
        <v>669.95376780304787</v>
      </c>
      <c r="BI66" s="300">
        <f t="shared" si="36"/>
        <v>301.73815426236462</v>
      </c>
      <c r="BJ66" s="301">
        <f t="shared" si="37"/>
        <v>368.21561354068331</v>
      </c>
      <c r="BK66" s="1080">
        <f t="shared" si="38"/>
        <v>0</v>
      </c>
      <c r="BL66" s="301">
        <f t="shared" si="39"/>
        <v>669.95376780304787</v>
      </c>
      <c r="BM66" s="104">
        <v>0</v>
      </c>
      <c r="BN66" s="302">
        <f t="shared" si="40"/>
        <v>669.95376780304787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6101.2520614134064</v>
      </c>
      <c r="Y67" s="907">
        <f>Parameters!S168</f>
        <v>0.71500000000000008</v>
      </c>
      <c r="Z67" s="907">
        <f t="shared" si="9"/>
        <v>0.4</v>
      </c>
      <c r="AA67" s="906">
        <f t="shared" si="10"/>
        <v>872.47904478211717</v>
      </c>
      <c r="AB67" s="906">
        <f t="shared" si="11"/>
        <v>872.47904478211717</v>
      </c>
      <c r="AC67" s="286">
        <f t="shared" si="12"/>
        <v>0</v>
      </c>
      <c r="AD67" s="906">
        <f t="shared" si="13"/>
        <v>11928.59711903899</v>
      </c>
      <c r="AE67" s="906">
        <f t="shared" si="14"/>
        <v>566.85929532992532</v>
      </c>
      <c r="AF67" s="1072">
        <f t="shared" si="15"/>
        <v>377.9061968866169</v>
      </c>
      <c r="AG67" s="1448">
        <f t="shared" si="16"/>
        <v>0.13527885904981399</v>
      </c>
      <c r="AH67" s="914">
        <f>'Baseline data (from input)'!AS53*AG67</f>
        <v>6101.2520614134064</v>
      </c>
      <c r="AI67" s="907">
        <f>Parameters!S168</f>
        <v>0.71500000000000008</v>
      </c>
      <c r="AJ67" s="907">
        <f t="shared" si="17"/>
        <v>0.4</v>
      </c>
      <c r="AK67" s="906">
        <f t="shared" si="18"/>
        <v>872.47904478211717</v>
      </c>
      <c r="AL67" s="906">
        <f t="shared" si="19"/>
        <v>872.47904478211717</v>
      </c>
      <c r="AM67" s="286">
        <f t="shared" si="20"/>
        <v>0</v>
      </c>
      <c r="AN67" s="906">
        <f t="shared" si="21"/>
        <v>11928.59711903899</v>
      </c>
      <c r="AO67" s="906">
        <f t="shared" si="22"/>
        <v>566.85929532992532</v>
      </c>
      <c r="AP67" s="1072">
        <f t="shared" si="23"/>
        <v>377.9061968866169</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377.9061968866169</v>
      </c>
      <c r="BD67" s="1080">
        <f t="shared" si="33"/>
        <v>0</v>
      </c>
      <c r="BE67" s="301">
        <f t="shared" si="34"/>
        <v>689.02453775339029</v>
      </c>
      <c r="BF67" s="104">
        <v>0</v>
      </c>
      <c r="BG67" s="302">
        <f t="shared" si="35"/>
        <v>689.02453775339029</v>
      </c>
      <c r="BI67" s="300">
        <f t="shared" si="36"/>
        <v>311.11834086677339</v>
      </c>
      <c r="BJ67" s="301">
        <f t="shared" si="37"/>
        <v>377.9061968866169</v>
      </c>
      <c r="BK67" s="1080">
        <f t="shared" si="38"/>
        <v>0</v>
      </c>
      <c r="BL67" s="301">
        <f t="shared" si="39"/>
        <v>689.02453775339029</v>
      </c>
      <c r="BM67" s="104">
        <v>0</v>
      </c>
      <c r="BN67" s="302">
        <f t="shared" si="40"/>
        <v>689.02453775339029</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6131.7583769368039</v>
      </c>
      <c r="Y68" s="907">
        <f>Parameters!S169</f>
        <v>0.71500000000000008</v>
      </c>
      <c r="Z68" s="907">
        <f t="shared" si="9"/>
        <v>0.4</v>
      </c>
      <c r="AA68" s="906">
        <f t="shared" si="10"/>
        <v>876.84144790196297</v>
      </c>
      <c r="AB68" s="906">
        <f t="shared" si="11"/>
        <v>876.84144790196297</v>
      </c>
      <c r="AC68" s="286">
        <f t="shared" si="12"/>
        <v>0</v>
      </c>
      <c r="AD68" s="906">
        <f t="shared" si="13"/>
        <v>12223.674020546297</v>
      </c>
      <c r="AE68" s="906">
        <f t="shared" si="14"/>
        <v>581.76454639465635</v>
      </c>
      <c r="AF68" s="1072">
        <f t="shared" si="15"/>
        <v>387.84303092977092</v>
      </c>
      <c r="AG68" s="1448">
        <f t="shared" si="16"/>
        <v>0.13527885904981399</v>
      </c>
      <c r="AH68" s="914">
        <f>'Baseline data (from input)'!AS54*AG68</f>
        <v>6131.7583769368039</v>
      </c>
      <c r="AI68" s="907">
        <f>Parameters!S169</f>
        <v>0.71500000000000008</v>
      </c>
      <c r="AJ68" s="907">
        <f t="shared" si="17"/>
        <v>0.4</v>
      </c>
      <c r="AK68" s="906">
        <f t="shared" si="18"/>
        <v>876.84144790196297</v>
      </c>
      <c r="AL68" s="906">
        <f t="shared" si="19"/>
        <v>876.84144790196297</v>
      </c>
      <c r="AM68" s="286">
        <f t="shared" si="20"/>
        <v>0</v>
      </c>
      <c r="AN68" s="906">
        <f t="shared" si="21"/>
        <v>12223.674020546297</v>
      </c>
      <c r="AO68" s="906">
        <f t="shared" si="22"/>
        <v>581.76454639465635</v>
      </c>
      <c r="AP68" s="1072">
        <f t="shared" si="23"/>
        <v>387.84303092977092</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387.84303092977092</v>
      </c>
      <c r="BD68" s="1080">
        <f t="shared" si="33"/>
        <v>0</v>
      </c>
      <c r="BE68" s="301">
        <f t="shared" si="34"/>
        <v>708.44190671234219</v>
      </c>
      <c r="BF68" s="104">
        <v>0</v>
      </c>
      <c r="BG68" s="302">
        <f t="shared" si="35"/>
        <v>708.44190671234219</v>
      </c>
      <c r="BI68" s="300">
        <f t="shared" si="36"/>
        <v>320.59887578257127</v>
      </c>
      <c r="BJ68" s="301">
        <f t="shared" si="37"/>
        <v>387.84303092977092</v>
      </c>
      <c r="BK68" s="1080">
        <f t="shared" si="38"/>
        <v>0</v>
      </c>
      <c r="BL68" s="301">
        <f t="shared" si="39"/>
        <v>708.44190671234219</v>
      </c>
      <c r="BM68" s="104">
        <v>0</v>
      </c>
      <c r="BN68" s="302">
        <f t="shared" si="40"/>
        <v>708.44190671234219</v>
      </c>
    </row>
    <row r="69" spans="1:66" ht="1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6278.9203477357596</v>
      </c>
      <c r="Y69" s="907">
        <f>Parameters!S170</f>
        <v>0.71500000000000008</v>
      </c>
      <c r="Z69" s="907">
        <f t="shared" si="9"/>
        <v>0.4</v>
      </c>
      <c r="AA69" s="906">
        <f t="shared" si="10"/>
        <v>897.88560972621383</v>
      </c>
      <c r="AB69" s="906">
        <f t="shared" si="11"/>
        <v>897.88560972621383</v>
      </c>
      <c r="AC69" s="286">
        <f t="shared" si="12"/>
        <v>0</v>
      </c>
      <c r="AD69" s="906">
        <f t="shared" si="13"/>
        <v>12525.404013574798</v>
      </c>
      <c r="AE69" s="906">
        <f t="shared" si="14"/>
        <v>596.15561669771387</v>
      </c>
      <c r="AF69" s="1072">
        <f t="shared" si="15"/>
        <v>397.43707779847591</v>
      </c>
      <c r="AG69" s="1448">
        <f t="shared" si="16"/>
        <v>0.13527885904981399</v>
      </c>
      <c r="AH69" s="914">
        <f>'Baseline data (from input)'!AS55*AG69</f>
        <v>6278.9203477357596</v>
      </c>
      <c r="AI69" s="907">
        <f>Parameters!S170</f>
        <v>0.71500000000000008</v>
      </c>
      <c r="AJ69" s="907">
        <f t="shared" si="17"/>
        <v>0.4</v>
      </c>
      <c r="AK69" s="906">
        <f t="shared" si="18"/>
        <v>897.88560972621383</v>
      </c>
      <c r="AL69" s="906">
        <f t="shared" si="19"/>
        <v>897.88560972621383</v>
      </c>
      <c r="AM69" s="286">
        <f t="shared" si="20"/>
        <v>0</v>
      </c>
      <c r="AN69" s="906">
        <f t="shared" si="21"/>
        <v>12525.404013574798</v>
      </c>
      <c r="AO69" s="906">
        <f t="shared" si="22"/>
        <v>596.15561669771387</v>
      </c>
      <c r="AP69" s="1072">
        <f t="shared" si="23"/>
        <v>397.43707779847591</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397.43707779847591</v>
      </c>
      <c r="BD69" s="1080">
        <f t="shared" si="33"/>
        <v>0</v>
      </c>
      <c r="BE69" s="301">
        <f t="shared" si="34"/>
        <v>727.64085811938276</v>
      </c>
      <c r="BF69" s="104">
        <v>0</v>
      </c>
      <c r="BG69" s="302">
        <f t="shared" si="35"/>
        <v>727.64085811938276</v>
      </c>
      <c r="BI69" s="300">
        <f t="shared" si="36"/>
        <v>330.2037803209069</v>
      </c>
      <c r="BJ69" s="301">
        <f t="shared" si="37"/>
        <v>397.43707779847591</v>
      </c>
      <c r="BK69" s="1080">
        <f t="shared" si="38"/>
        <v>0</v>
      </c>
      <c r="BL69" s="301">
        <f t="shared" si="39"/>
        <v>727.64085811938276</v>
      </c>
      <c r="BM69" s="104">
        <v>0</v>
      </c>
      <c r="BN69" s="302">
        <f t="shared" si="40"/>
        <v>727.64085811938276</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6542.6352205959338</v>
      </c>
      <c r="Y70" s="888">
        <f>Parameters!S171</f>
        <v>0.71500000000000008</v>
      </c>
      <c r="Z70" s="888">
        <f t="shared" si="9"/>
        <v>0.4</v>
      </c>
      <c r="AA70" s="889">
        <f t="shared" si="10"/>
        <v>935.59683654521882</v>
      </c>
      <c r="AB70" s="889">
        <f t="shared" si="11"/>
        <v>935.59683654521882</v>
      </c>
      <c r="AC70" s="890">
        <f t="shared" si="12"/>
        <v>0</v>
      </c>
      <c r="AD70" s="889">
        <f t="shared" si="13"/>
        <v>12850.129688016908</v>
      </c>
      <c r="AE70" s="889">
        <f>AC70+AD69*(1-$D$8)</f>
        <v>610.87116210310944</v>
      </c>
      <c r="AF70" s="896">
        <f>AE70*16/12*$D$11</f>
        <v>407.24744140207298</v>
      </c>
      <c r="AG70" s="1448">
        <f t="shared" si="16"/>
        <v>0.13527885904981399</v>
      </c>
      <c r="AH70" s="887">
        <f>'Baseline data (from input)'!AS56*AG70</f>
        <v>6542.6352205959338</v>
      </c>
      <c r="AI70" s="888">
        <f>Parameters!S171</f>
        <v>0.71500000000000008</v>
      </c>
      <c r="AJ70" s="888">
        <f t="shared" si="17"/>
        <v>0.4</v>
      </c>
      <c r="AK70" s="889">
        <f t="shared" si="18"/>
        <v>935.59683654521882</v>
      </c>
      <c r="AL70" s="889">
        <f t="shared" si="19"/>
        <v>935.59683654521882</v>
      </c>
      <c r="AM70" s="890">
        <f t="shared" si="20"/>
        <v>0</v>
      </c>
      <c r="AN70" s="889">
        <f t="shared" si="21"/>
        <v>12850.129688016908</v>
      </c>
      <c r="AO70" s="889">
        <f t="shared" si="22"/>
        <v>610.87116210310944</v>
      </c>
      <c r="AP70" s="896">
        <f t="shared" si="23"/>
        <v>407.24744140207298</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407.24744140207298</v>
      </c>
      <c r="BD70" s="1603">
        <f>AZ70</f>
        <v>0</v>
      </c>
      <c r="BE70" s="1602">
        <f t="shared" si="34"/>
        <v>747.20394806508398</v>
      </c>
      <c r="BF70" s="495">
        <v>0</v>
      </c>
      <c r="BG70" s="1604">
        <f t="shared" si="35"/>
        <v>747.20394806508398</v>
      </c>
      <c r="BI70" s="1601">
        <f t="shared" si="36"/>
        <v>339.95650666301094</v>
      </c>
      <c r="BJ70" s="1602">
        <f t="shared" si="37"/>
        <v>407.24744140207298</v>
      </c>
      <c r="BK70" s="1603">
        <f t="shared" si="38"/>
        <v>0</v>
      </c>
      <c r="BL70" s="1602">
        <f t="shared" si="39"/>
        <v>747.20394806508398</v>
      </c>
      <c r="BM70" s="495">
        <v>0</v>
      </c>
      <c r="BN70" s="1604">
        <f t="shared" si="40"/>
        <v>747.20394806508398</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6719.286016090653</v>
      </c>
      <c r="Y71" s="885">
        <f>Parameters!S172</f>
        <v>0.71500000000000008</v>
      </c>
      <c r="Z71" s="885">
        <f t="shared" si="9"/>
        <v>0.4</v>
      </c>
      <c r="AA71" s="884">
        <f t="shared" si="10"/>
        <v>960.85790030096359</v>
      </c>
      <c r="AB71" s="884">
        <f t="shared" si="11"/>
        <v>960.85790030096359</v>
      </c>
      <c r="AC71" s="886">
        <f t="shared" si="12"/>
        <v>0</v>
      </c>
      <c r="AD71" s="884">
        <f t="shared" si="13"/>
        <v>13184.279368192827</v>
      </c>
      <c r="AE71" s="884">
        <f t="shared" si="14"/>
        <v>626.70822012504493</v>
      </c>
      <c r="AF71" s="897">
        <f t="shared" si="15"/>
        <v>417.80548008336331</v>
      </c>
      <c r="AG71" s="1448">
        <f t="shared" si="16"/>
        <v>0.13527885904981399</v>
      </c>
      <c r="AH71" s="891">
        <f>'Baseline data (from input)'!AS57*AG71</f>
        <v>6719.286016090653</v>
      </c>
      <c r="AI71" s="885">
        <f>Parameters!S172</f>
        <v>0.71500000000000008</v>
      </c>
      <c r="AJ71" s="885">
        <f t="shared" si="17"/>
        <v>0.4</v>
      </c>
      <c r="AK71" s="884">
        <f t="shared" si="18"/>
        <v>960.85790030096359</v>
      </c>
      <c r="AL71" s="884">
        <f t="shared" si="19"/>
        <v>960.85790030096359</v>
      </c>
      <c r="AM71" s="886">
        <f t="shared" si="20"/>
        <v>0</v>
      </c>
      <c r="AN71" s="884">
        <f t="shared" si="21"/>
        <v>13184.279368192827</v>
      </c>
      <c r="AO71" s="884">
        <f t="shared" si="22"/>
        <v>626.70822012504493</v>
      </c>
      <c r="AP71" s="897">
        <f t="shared" si="23"/>
        <v>417.80548008336331</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417.80548008336331</v>
      </c>
      <c r="BD71" s="1607">
        <f t="shared" ref="BD71:BD87" si="53">AZ71</f>
        <v>0.48626614457152323</v>
      </c>
      <c r="BE71" s="1606">
        <f t="shared" si="34"/>
        <v>770.79556857193893</v>
      </c>
      <c r="BF71" s="1608">
        <v>0</v>
      </c>
      <c r="BG71" s="1609">
        <f t="shared" si="35"/>
        <v>770.79556857193893</v>
      </c>
      <c r="BI71" s="1605">
        <f t="shared" si="36"/>
        <v>352.50382234400405</v>
      </c>
      <c r="BJ71" s="1606">
        <f t="shared" si="37"/>
        <v>417.80548008336331</v>
      </c>
      <c r="BK71" s="1607">
        <f t="shared" si="38"/>
        <v>0.48626614457152323</v>
      </c>
      <c r="BL71" s="1606">
        <f t="shared" si="39"/>
        <v>770.79556857193893</v>
      </c>
      <c r="BM71" s="1608">
        <v>0</v>
      </c>
      <c r="BN71" s="1609">
        <f t="shared" si="40"/>
        <v>770.79556857193893</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6967.9252900104757</v>
      </c>
      <c r="Y72" s="885">
        <f>Parameters!S173</f>
        <v>0.71500000000000008</v>
      </c>
      <c r="Z72" s="885">
        <f t="shared" si="9"/>
        <v>0.4</v>
      </c>
      <c r="AA72" s="884">
        <f t="shared" si="10"/>
        <v>996.41331647149809</v>
      </c>
      <c r="AB72" s="884">
        <f t="shared" si="11"/>
        <v>996.41331647149809</v>
      </c>
      <c r="AC72" s="886">
        <f t="shared" si="12"/>
        <v>0</v>
      </c>
      <c r="AD72" s="884">
        <f t="shared" si="13"/>
        <v>13537.687792334198</v>
      </c>
      <c r="AE72" s="884">
        <f t="shared" si="14"/>
        <v>643.00489233012684</v>
      </c>
      <c r="AF72" s="897">
        <f t="shared" si="15"/>
        <v>428.66992822008456</v>
      </c>
      <c r="AG72" s="1448">
        <f t="shared" si="16"/>
        <v>0.13527885904981399</v>
      </c>
      <c r="AH72" s="891">
        <f>'Baseline data (from input)'!AS58*AG72</f>
        <v>6967.9252900104757</v>
      </c>
      <c r="AI72" s="885">
        <f>Parameters!S173</f>
        <v>0.71500000000000008</v>
      </c>
      <c r="AJ72" s="885">
        <f t="shared" si="17"/>
        <v>0.4</v>
      </c>
      <c r="AK72" s="884">
        <f t="shared" si="18"/>
        <v>996.41331647149809</v>
      </c>
      <c r="AL72" s="884">
        <f t="shared" si="19"/>
        <v>996.41331647149809</v>
      </c>
      <c r="AM72" s="886">
        <f t="shared" si="20"/>
        <v>0</v>
      </c>
      <c r="AN72" s="884">
        <f t="shared" si="21"/>
        <v>13537.687792334198</v>
      </c>
      <c r="AO72" s="884">
        <f t="shared" si="22"/>
        <v>643.00489233012684</v>
      </c>
      <c r="AP72" s="897">
        <f t="shared" si="23"/>
        <v>428.66992822008456</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428.66992822008456</v>
      </c>
      <c r="BD72" s="1607">
        <f t="shared" si="53"/>
        <v>0.94421435341173465</v>
      </c>
      <c r="BE72" s="1606">
        <f t="shared" si="34"/>
        <v>794.65574404270728</v>
      </c>
      <c r="BF72" s="1608">
        <v>0</v>
      </c>
      <c r="BG72" s="1609">
        <f t="shared" si="35"/>
        <v>794.65574404270728</v>
      </c>
      <c r="BI72" s="1605">
        <f t="shared" si="36"/>
        <v>365.04160146921089</v>
      </c>
      <c r="BJ72" s="1606">
        <f t="shared" si="37"/>
        <v>428.66992822008456</v>
      </c>
      <c r="BK72" s="1607">
        <f t="shared" si="38"/>
        <v>0.94421435341173465</v>
      </c>
      <c r="BL72" s="1606">
        <f t="shared" si="39"/>
        <v>794.65574404270728</v>
      </c>
      <c r="BM72" s="1608">
        <v>0</v>
      </c>
      <c r="BN72" s="1609">
        <f t="shared" si="40"/>
        <v>794.65574404270728</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6496.4456746839114</v>
      </c>
      <c r="Y73" s="885">
        <f>Parameters!S174</f>
        <v>0.71500000000000008</v>
      </c>
      <c r="Z73" s="885">
        <f t="shared" si="9"/>
        <v>0.4</v>
      </c>
      <c r="AA73" s="884">
        <f t="shared" si="10"/>
        <v>928.99173147979945</v>
      </c>
      <c r="AB73" s="884">
        <f t="shared" si="11"/>
        <v>928.99173147979945</v>
      </c>
      <c r="AC73" s="886">
        <f t="shared" si="12"/>
        <v>0</v>
      </c>
      <c r="AD73" s="884">
        <f t="shared" si="13"/>
        <v>13806.438699252201</v>
      </c>
      <c r="AE73" s="884">
        <f t="shared" si="14"/>
        <v>660.24082456179724</v>
      </c>
      <c r="AF73" s="897">
        <f t="shared" si="15"/>
        <v>440.16054970786485</v>
      </c>
      <c r="AG73" s="1450">
        <f>($AG$82-$AG$72)/($A$82-$A$72)+AG72</f>
        <v>0.12394828525545966</v>
      </c>
      <c r="AH73" s="891">
        <f>'Baseline data (from input)'!AS59*AG73</f>
        <v>6496.4456746839114</v>
      </c>
      <c r="AI73" s="885">
        <f>Parameters!S174</f>
        <v>0.71500000000000008</v>
      </c>
      <c r="AJ73" s="885">
        <f t="shared" si="17"/>
        <v>0.4</v>
      </c>
      <c r="AK73" s="884">
        <f t="shared" si="18"/>
        <v>928.99173147979945</v>
      </c>
      <c r="AL73" s="884">
        <f t="shared" si="19"/>
        <v>928.99173147979945</v>
      </c>
      <c r="AM73" s="886">
        <f t="shared" si="20"/>
        <v>0</v>
      </c>
      <c r="AN73" s="884">
        <f t="shared" si="21"/>
        <v>13806.438699252201</v>
      </c>
      <c r="AO73" s="884">
        <f t="shared" si="22"/>
        <v>660.24082456179724</v>
      </c>
      <c r="AP73" s="897">
        <f t="shared" si="23"/>
        <v>440.16054970786485</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440.16054970786485</v>
      </c>
      <c r="BD73" s="1607">
        <f t="shared" si="53"/>
        <v>1.3754937347158787</v>
      </c>
      <c r="BE73" s="1606">
        <f t="shared" si="34"/>
        <v>818.91636386691971</v>
      </c>
      <c r="BF73" s="1608">
        <v>0</v>
      </c>
      <c r="BG73" s="1609">
        <f t="shared" si="35"/>
        <v>818.91636386691971</v>
      </c>
      <c r="BI73" s="1605">
        <f t="shared" si="36"/>
        <v>377.380320424339</v>
      </c>
      <c r="BJ73" s="1606">
        <f t="shared" si="37"/>
        <v>440.16054970786485</v>
      </c>
      <c r="BK73" s="1607">
        <f t="shared" si="38"/>
        <v>1.3754937347158787</v>
      </c>
      <c r="BL73" s="1606">
        <f t="shared" si="39"/>
        <v>818.91636386691971</v>
      </c>
      <c r="BM73" s="1608">
        <v>0</v>
      </c>
      <c r="BN73" s="1609">
        <f t="shared" si="40"/>
        <v>818.91636386691971</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6099.0828792375532</v>
      </c>
      <c r="Y74" s="885">
        <f>Parameters!S175</f>
        <v>0.71500000000000008</v>
      </c>
      <c r="Z74" s="885">
        <f t="shared" si="9"/>
        <v>0.4</v>
      </c>
      <c r="AA74" s="884">
        <f t="shared" si="10"/>
        <v>872.16885173097023</v>
      </c>
      <c r="AB74" s="884">
        <f t="shared" si="11"/>
        <v>872.16885173097023</v>
      </c>
      <c r="AC74" s="886">
        <f t="shared" si="12"/>
        <v>0</v>
      </c>
      <c r="AD74" s="884">
        <f t="shared" si="13"/>
        <v>14005.259590025029</v>
      </c>
      <c r="AE74" s="884">
        <f t="shared" si="14"/>
        <v>673.34796095814329</v>
      </c>
      <c r="AF74" s="897">
        <f t="shared" si="15"/>
        <v>448.89864063876217</v>
      </c>
      <c r="AG74" s="1450">
        <f t="shared" ref="AG74:AG81" si="56">($AG$82-$AG$72)/($A$82-$A$72)+AG73</f>
        <v>0.11261771146110533</v>
      </c>
      <c r="AH74" s="891">
        <f>'Baseline data (from input)'!AS60*AG74</f>
        <v>6099.0828792375532</v>
      </c>
      <c r="AI74" s="885">
        <f>Parameters!S175</f>
        <v>0.71500000000000008</v>
      </c>
      <c r="AJ74" s="885">
        <f t="shared" si="17"/>
        <v>0.4</v>
      </c>
      <c r="AK74" s="884">
        <f t="shared" si="18"/>
        <v>872.16885173097023</v>
      </c>
      <c r="AL74" s="884">
        <f t="shared" si="19"/>
        <v>872.16885173097023</v>
      </c>
      <c r="AM74" s="886">
        <f t="shared" si="20"/>
        <v>0</v>
      </c>
      <c r="AN74" s="884">
        <f t="shared" si="21"/>
        <v>14005.259590025029</v>
      </c>
      <c r="AO74" s="884">
        <f t="shared" si="22"/>
        <v>673.34796095814329</v>
      </c>
      <c r="AP74" s="897">
        <f t="shared" si="23"/>
        <v>448.89864063876217</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448.89864063876217</v>
      </c>
      <c r="BD74" s="1607">
        <f t="shared" si="53"/>
        <v>1.7816573600942787</v>
      </c>
      <c r="BE74" s="1606">
        <f t="shared" si="34"/>
        <v>840.18350622352068</v>
      </c>
      <c r="BF74" s="1608">
        <v>0</v>
      </c>
      <c r="BG74" s="1609">
        <f t="shared" si="35"/>
        <v>840.18350622352068</v>
      </c>
      <c r="BI74" s="1605">
        <f t="shared" si="36"/>
        <v>389.50320822466421</v>
      </c>
      <c r="BJ74" s="1606">
        <f t="shared" si="37"/>
        <v>448.89864063876217</v>
      </c>
      <c r="BK74" s="1607">
        <f t="shared" si="38"/>
        <v>1.7816573600942787</v>
      </c>
      <c r="BL74" s="1606">
        <f t="shared" si="39"/>
        <v>840.18350622352068</v>
      </c>
      <c r="BM74" s="1608">
        <v>0</v>
      </c>
      <c r="BN74" s="1609">
        <f t="shared" si="40"/>
        <v>840.18350622352068</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5706.4284712043</v>
      </c>
      <c r="Y75" s="885">
        <f>Parameters!S176</f>
        <v>0.71500000000000008</v>
      </c>
      <c r="Z75" s="885">
        <f t="shared" si="9"/>
        <v>0.4</v>
      </c>
      <c r="AA75" s="884">
        <f t="shared" si="10"/>
        <v>816.01927138221504</v>
      </c>
      <c r="AB75" s="884">
        <f t="shared" si="11"/>
        <v>816.01927138221504</v>
      </c>
      <c r="AC75" s="886">
        <f t="shared" si="12"/>
        <v>0</v>
      </c>
      <c r="AD75" s="884">
        <f t="shared" si="13"/>
        <v>14138.234291184828</v>
      </c>
      <c r="AE75" s="884">
        <f t="shared" si="14"/>
        <v>683.04457022241479</v>
      </c>
      <c r="AF75" s="897">
        <f t="shared" si="15"/>
        <v>455.36304681494317</v>
      </c>
      <c r="AG75" s="1450">
        <f t="shared" si="56"/>
        <v>0.101287137666751</v>
      </c>
      <c r="AH75" s="891">
        <f>'Baseline data (from input)'!AS61*AG75</f>
        <v>5706.4284712043</v>
      </c>
      <c r="AI75" s="885">
        <f>Parameters!S176</f>
        <v>0.71500000000000008</v>
      </c>
      <c r="AJ75" s="885">
        <f t="shared" si="17"/>
        <v>0.4</v>
      </c>
      <c r="AK75" s="884">
        <f t="shared" si="18"/>
        <v>816.01927138221504</v>
      </c>
      <c r="AL75" s="884">
        <f t="shared" si="19"/>
        <v>816.01927138221504</v>
      </c>
      <c r="AM75" s="886">
        <f t="shared" si="20"/>
        <v>0</v>
      </c>
      <c r="AN75" s="884">
        <f t="shared" si="21"/>
        <v>14138.234291184828</v>
      </c>
      <c r="AO75" s="884">
        <f t="shared" si="22"/>
        <v>683.04457022241479</v>
      </c>
      <c r="AP75" s="897">
        <f t="shared" si="23"/>
        <v>455.36304681494317</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455.36304681494317</v>
      </c>
      <c r="BD75" s="1607">
        <f t="shared" si="53"/>
        <v>2.1641678573076555</v>
      </c>
      <c r="BE75" s="1606">
        <f t="shared" si="34"/>
        <v>858.92549837785668</v>
      </c>
      <c r="BF75" s="1608">
        <v>0</v>
      </c>
      <c r="BG75" s="1609">
        <f t="shared" si="35"/>
        <v>858.92549837785668</v>
      </c>
      <c r="BI75" s="1605">
        <f t="shared" si="36"/>
        <v>401.39828370560582</v>
      </c>
      <c r="BJ75" s="1606">
        <f t="shared" si="37"/>
        <v>455.36304681494317</v>
      </c>
      <c r="BK75" s="1607">
        <f t="shared" si="38"/>
        <v>2.1641678573076555</v>
      </c>
      <c r="BL75" s="1606">
        <f t="shared" si="39"/>
        <v>858.92549837785668</v>
      </c>
      <c r="BM75" s="1608">
        <v>0</v>
      </c>
      <c r="BN75" s="1609">
        <f t="shared" si="40"/>
        <v>858.92549837785668</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5287.8413483740942</v>
      </c>
      <c r="Y76" s="885">
        <f>Parameters!S177</f>
        <v>0.71500000000000008</v>
      </c>
      <c r="Z76" s="885">
        <f t="shared" si="9"/>
        <v>0.4</v>
      </c>
      <c r="AA76" s="884">
        <f t="shared" si="10"/>
        <v>756.16131281749551</v>
      </c>
      <c r="AB76" s="884">
        <f t="shared" si="11"/>
        <v>756.16131281749551</v>
      </c>
      <c r="AC76" s="886">
        <f t="shared" si="12"/>
        <v>0</v>
      </c>
      <c r="AD76" s="884">
        <f t="shared" si="13"/>
        <v>14204.8657810775</v>
      </c>
      <c r="AE76" s="884">
        <f t="shared" si="14"/>
        <v>689.52982292482375</v>
      </c>
      <c r="AF76" s="897">
        <f t="shared" si="15"/>
        <v>459.68654861654915</v>
      </c>
      <c r="AG76" s="1450">
        <f t="shared" si="56"/>
        <v>8.9956563872396672E-2</v>
      </c>
      <c r="AH76" s="891">
        <f>'Baseline data (from input)'!AS62*AG76</f>
        <v>5287.8413483740942</v>
      </c>
      <c r="AI76" s="885">
        <f>Parameters!S177</f>
        <v>0.71500000000000008</v>
      </c>
      <c r="AJ76" s="885">
        <f t="shared" si="17"/>
        <v>0.4</v>
      </c>
      <c r="AK76" s="884">
        <f t="shared" si="18"/>
        <v>756.16131281749551</v>
      </c>
      <c r="AL76" s="884">
        <f t="shared" si="19"/>
        <v>756.16131281749551</v>
      </c>
      <c r="AM76" s="886">
        <f t="shared" si="20"/>
        <v>0</v>
      </c>
      <c r="AN76" s="884">
        <f t="shared" si="21"/>
        <v>14204.8657810775</v>
      </c>
      <c r="AO76" s="884">
        <f t="shared" si="22"/>
        <v>689.52982292482375</v>
      </c>
      <c r="AP76" s="897">
        <f t="shared" si="23"/>
        <v>459.68654861654915</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459.68654861654915</v>
      </c>
      <c r="BD76" s="1607">
        <f t="shared" si="53"/>
        <v>2.5244026773068904</v>
      </c>
      <c r="BE76" s="1606">
        <f t="shared" si="34"/>
        <v>875.27701699343083</v>
      </c>
      <c r="BF76" s="1608">
        <v>0</v>
      </c>
      <c r="BG76" s="1609">
        <f t="shared" si="35"/>
        <v>875.27701699343083</v>
      </c>
      <c r="BI76" s="1605">
        <f t="shared" si="36"/>
        <v>413.06606569957484</v>
      </c>
      <c r="BJ76" s="1606">
        <f t="shared" si="37"/>
        <v>459.68654861654915</v>
      </c>
      <c r="BK76" s="1607">
        <f t="shared" si="38"/>
        <v>2.5244026773068904</v>
      </c>
      <c r="BL76" s="1606">
        <f t="shared" si="39"/>
        <v>875.27701699343083</v>
      </c>
      <c r="BM76" s="1608">
        <v>0</v>
      </c>
      <c r="BN76" s="1609">
        <f t="shared" si="40"/>
        <v>875.27701699343083</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4810.4007183137001</v>
      </c>
      <c r="Y77" s="885">
        <f>Parameters!S178</f>
        <v>0.71500000000000008</v>
      </c>
      <c r="Z77" s="885">
        <f t="shared" si="9"/>
        <v>0.4</v>
      </c>
      <c r="AA77" s="884">
        <f t="shared" si="10"/>
        <v>687.88730271885925</v>
      </c>
      <c r="AB77" s="884">
        <f t="shared" si="11"/>
        <v>687.88730271885925</v>
      </c>
      <c r="AC77" s="886">
        <f t="shared" si="12"/>
        <v>0</v>
      </c>
      <c r="AD77" s="884">
        <f t="shared" si="13"/>
        <v>14199.973604763094</v>
      </c>
      <c r="AE77" s="884">
        <f t="shared" si="14"/>
        <v>692.77947903326424</v>
      </c>
      <c r="AF77" s="897">
        <f t="shared" si="15"/>
        <v>461.85298602217614</v>
      </c>
      <c r="AG77" s="1450">
        <f t="shared" si="56"/>
        <v>7.8625990078042343E-2</v>
      </c>
      <c r="AH77" s="891">
        <f>'Baseline data (from input)'!AS63*AG77</f>
        <v>4810.4007183137001</v>
      </c>
      <c r="AI77" s="885">
        <f>Parameters!S178</f>
        <v>0.71500000000000008</v>
      </c>
      <c r="AJ77" s="885">
        <f t="shared" si="17"/>
        <v>0.4</v>
      </c>
      <c r="AK77" s="884">
        <f t="shared" si="18"/>
        <v>687.88730271885925</v>
      </c>
      <c r="AL77" s="884">
        <f t="shared" si="19"/>
        <v>687.88730271885925</v>
      </c>
      <c r="AM77" s="886">
        <f t="shared" si="20"/>
        <v>0</v>
      </c>
      <c r="AN77" s="884">
        <f t="shared" si="21"/>
        <v>14199.973604763094</v>
      </c>
      <c r="AO77" s="884">
        <f t="shared" si="22"/>
        <v>692.77947903326424</v>
      </c>
      <c r="AP77" s="897">
        <f t="shared" si="23"/>
        <v>461.85298602217614</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461.85298602217614</v>
      </c>
      <c r="BD77" s="1607">
        <f t="shared" si="53"/>
        <v>2.8636590545442755</v>
      </c>
      <c r="BE77" s="1606">
        <f t="shared" si="34"/>
        <v>889.23428451745849</v>
      </c>
      <c r="BF77" s="1608">
        <v>0</v>
      </c>
      <c r="BG77" s="1609">
        <f t="shared" si="35"/>
        <v>889.23428451745849</v>
      </c>
      <c r="BI77" s="1605">
        <f t="shared" si="36"/>
        <v>424.51763944073804</v>
      </c>
      <c r="BJ77" s="1606">
        <f t="shared" si="37"/>
        <v>461.85298602217614</v>
      </c>
      <c r="BK77" s="1607">
        <f t="shared" si="38"/>
        <v>2.8636590545442755</v>
      </c>
      <c r="BL77" s="1606">
        <f t="shared" si="39"/>
        <v>889.23428451745849</v>
      </c>
      <c r="BM77" s="1608">
        <v>0</v>
      </c>
      <c r="BN77" s="1609">
        <f t="shared" si="40"/>
        <v>889.23428451745849</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4196.3218881432249</v>
      </c>
      <c r="Y78" s="885">
        <f>Parameters!S179</f>
        <v>0.71500000000000008</v>
      </c>
      <c r="Z78" s="885">
        <f t="shared" si="9"/>
        <v>0.4</v>
      </c>
      <c r="AA78" s="884">
        <f t="shared" si="10"/>
        <v>600.07403000448119</v>
      </c>
      <c r="AB78" s="884">
        <f t="shared" si="11"/>
        <v>600.07403000448119</v>
      </c>
      <c r="AC78" s="886">
        <f t="shared" si="12"/>
        <v>0</v>
      </c>
      <c r="AD78" s="884">
        <f t="shared" si="13"/>
        <v>14107.50674998861</v>
      </c>
      <c r="AE78" s="884">
        <f t="shared" si="14"/>
        <v>692.54088477896664</v>
      </c>
      <c r="AF78" s="897">
        <f t="shared" si="15"/>
        <v>461.69392318597778</v>
      </c>
      <c r="AG78" s="1450">
        <f t="shared" si="56"/>
        <v>6.7295416283688014E-2</v>
      </c>
      <c r="AH78" s="891">
        <f>'Baseline data (from input)'!AS64*AG78</f>
        <v>4196.3218881432249</v>
      </c>
      <c r="AI78" s="885">
        <f>Parameters!S179</f>
        <v>0.71500000000000008</v>
      </c>
      <c r="AJ78" s="885">
        <f t="shared" si="17"/>
        <v>0.4</v>
      </c>
      <c r="AK78" s="884">
        <f t="shared" si="18"/>
        <v>600.07403000448119</v>
      </c>
      <c r="AL78" s="884">
        <f t="shared" si="19"/>
        <v>600.07403000448119</v>
      </c>
      <c r="AM78" s="886">
        <f t="shared" si="20"/>
        <v>0</v>
      </c>
      <c r="AN78" s="884">
        <f t="shared" si="21"/>
        <v>14107.50674998861</v>
      </c>
      <c r="AO78" s="884">
        <f t="shared" si="22"/>
        <v>692.54088477896664</v>
      </c>
      <c r="AP78" s="897">
        <f t="shared" si="23"/>
        <v>461.69392318597778</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461.69392318597778</v>
      </c>
      <c r="BD78" s="1607">
        <f t="shared" si="53"/>
        <v>3.183158678418724</v>
      </c>
      <c r="BE78" s="1606">
        <f t="shared" si="34"/>
        <v>900.63599752324797</v>
      </c>
      <c r="BF78" s="1608">
        <v>0</v>
      </c>
      <c r="BG78" s="1609">
        <f t="shared" si="35"/>
        <v>900.63599752324797</v>
      </c>
      <c r="BI78" s="1605">
        <f t="shared" si="36"/>
        <v>435.75891565885144</v>
      </c>
      <c r="BJ78" s="1606">
        <f t="shared" si="37"/>
        <v>461.69392318597778</v>
      </c>
      <c r="BK78" s="1607">
        <f t="shared" si="38"/>
        <v>3.183158678418724</v>
      </c>
      <c r="BL78" s="1606">
        <f t="shared" si="39"/>
        <v>900.63599752324797</v>
      </c>
      <c r="BM78" s="1608">
        <v>0</v>
      </c>
      <c r="BN78" s="1609">
        <f t="shared" si="40"/>
        <v>900.63599752324797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3393.3268299990286</v>
      </c>
      <c r="Y79" s="885">
        <f>Parameters!S180</f>
        <v>0.71500000000000008</v>
      </c>
      <c r="Z79" s="885">
        <f t="shared" si="9"/>
        <v>0.4</v>
      </c>
      <c r="AA79" s="884">
        <f t="shared" si="10"/>
        <v>485.24573668986119</v>
      </c>
      <c r="AB79" s="884">
        <f t="shared" si="11"/>
        <v>485.24573668986119</v>
      </c>
      <c r="AC79" s="886">
        <f t="shared" si="12"/>
        <v>0</v>
      </c>
      <c r="AD79" s="884">
        <f t="shared" si="13"/>
        <v>13904.721263621466</v>
      </c>
      <c r="AE79" s="884">
        <f t="shared" si="14"/>
        <v>688.03122305700617</v>
      </c>
      <c r="AF79" s="897">
        <f t="shared" si="15"/>
        <v>458.68748203800413</v>
      </c>
      <c r="AG79" s="1450">
        <f t="shared" si="56"/>
        <v>5.5964842489333685E-2</v>
      </c>
      <c r="AH79" s="891">
        <f>'Baseline data (from input)'!AS65*AG79</f>
        <v>3393.3268299990286</v>
      </c>
      <c r="AI79" s="885">
        <f>Parameters!S180</f>
        <v>0.71500000000000008</v>
      </c>
      <c r="AJ79" s="885">
        <f t="shared" si="17"/>
        <v>0.4</v>
      </c>
      <c r="AK79" s="884">
        <f t="shared" si="18"/>
        <v>485.24573668986119</v>
      </c>
      <c r="AL79" s="884">
        <f t="shared" si="19"/>
        <v>485.24573668986119</v>
      </c>
      <c r="AM79" s="886">
        <f t="shared" si="20"/>
        <v>0</v>
      </c>
      <c r="AN79" s="884">
        <f t="shared" si="21"/>
        <v>13904.721263621466</v>
      </c>
      <c r="AO79" s="884">
        <f t="shared" si="22"/>
        <v>688.03122305700617</v>
      </c>
      <c r="AP79" s="897">
        <f t="shared" si="23"/>
        <v>458.68748203800413</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458.68748203800413</v>
      </c>
      <c r="BD79" s="1607">
        <f t="shared" si="53"/>
        <v>3.484052092677187</v>
      </c>
      <c r="BE79" s="1606">
        <f t="shared" si="34"/>
        <v>908.97830463176604</v>
      </c>
      <c r="BF79" s="1608">
        <v>0</v>
      </c>
      <c r="BG79" s="1609">
        <f t="shared" si="35"/>
        <v>908.97830463176604</v>
      </c>
      <c r="BI79" s="1605">
        <f t="shared" si="36"/>
        <v>446.80677050108471</v>
      </c>
      <c r="BJ79" s="1606">
        <f t="shared" si="37"/>
        <v>458.68748203800413</v>
      </c>
      <c r="BK79" s="1607">
        <f t="shared" si="38"/>
        <v>3.484052092677187</v>
      </c>
      <c r="BL79" s="1606">
        <f t="shared" si="39"/>
        <v>908.97830463176604</v>
      </c>
      <c r="BM79" s="1608">
        <v>0</v>
      </c>
      <c r="BN79" s="1609">
        <f t="shared" si="40"/>
        <v>908.97830463176604</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2753.4255817461535</v>
      </c>
      <c r="Y80" s="885">
        <f>Parameters!S181</f>
        <v>0.71500000000000008</v>
      </c>
      <c r="Z80" s="885">
        <f t="shared" si="9"/>
        <v>0.4</v>
      </c>
      <c r="AA80" s="884">
        <f t="shared" si="10"/>
        <v>393.73985818969999</v>
      </c>
      <c r="AB80" s="884">
        <f t="shared" si="11"/>
        <v>393.73985818969999</v>
      </c>
      <c r="AC80" s="886">
        <f t="shared" si="12"/>
        <v>0</v>
      </c>
      <c r="AD80" s="884">
        <f t="shared" si="13"/>
        <v>13620.319863627188</v>
      </c>
      <c r="AE80" s="884">
        <f t="shared" si="14"/>
        <v>678.14125818397793</v>
      </c>
      <c r="AF80" s="897">
        <f t="shared" si="15"/>
        <v>452.09417212265197</v>
      </c>
      <c r="AG80" s="1450">
        <f t="shared" si="56"/>
        <v>4.4634268694979357E-2</v>
      </c>
      <c r="AH80" s="891">
        <f>'Baseline data (from input)'!AS66*AG80</f>
        <v>2753.4255817461535</v>
      </c>
      <c r="AI80" s="885">
        <f>Parameters!S181</f>
        <v>0.71500000000000008</v>
      </c>
      <c r="AJ80" s="885">
        <f t="shared" si="17"/>
        <v>0.4</v>
      </c>
      <c r="AK80" s="884">
        <f t="shared" si="18"/>
        <v>393.73985818969999</v>
      </c>
      <c r="AL80" s="884">
        <f t="shared" si="19"/>
        <v>393.73985818969999</v>
      </c>
      <c r="AM80" s="886">
        <f t="shared" si="20"/>
        <v>0</v>
      </c>
      <c r="AN80" s="884">
        <f t="shared" si="21"/>
        <v>13620.319863627188</v>
      </c>
      <c r="AO80" s="884">
        <f t="shared" si="22"/>
        <v>678.14125818397793</v>
      </c>
      <c r="AP80" s="897">
        <f t="shared" si="23"/>
        <v>452.09417212265197</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452.09417212265197</v>
      </c>
      <c r="BD80" s="1607">
        <f t="shared" si="53"/>
        <v>3.76742283861488</v>
      </c>
      <c r="BE80" s="1606">
        <f t="shared" si="34"/>
        <v>913.52627436617024</v>
      </c>
      <c r="BF80" s="1608">
        <v>0</v>
      </c>
      <c r="BG80" s="1609">
        <f t="shared" si="35"/>
        <v>913.52627436617024</v>
      </c>
      <c r="BI80" s="1605">
        <f t="shared" si="36"/>
        <v>457.66467940490338</v>
      </c>
      <c r="BJ80" s="1606">
        <f t="shared" si="37"/>
        <v>452.09417212265197</v>
      </c>
      <c r="BK80" s="1607">
        <f t="shared" si="38"/>
        <v>3.76742283861488</v>
      </c>
      <c r="BL80" s="1606">
        <f t="shared" si="39"/>
        <v>913.52627436617024</v>
      </c>
      <c r="BM80" s="1608">
        <v>0</v>
      </c>
      <c r="BN80" s="1609">
        <f t="shared" si="40"/>
        <v>913.52627436617024</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2094.8362599747988</v>
      </c>
      <c r="Y81" s="885">
        <f>Parameters!S182</f>
        <v>0.71500000000000008</v>
      </c>
      <c r="Z81" s="885">
        <f t="shared" si="9"/>
        <v>0.4</v>
      </c>
      <c r="AA81" s="884">
        <f t="shared" si="10"/>
        <v>299.56158517639625</v>
      </c>
      <c r="AB81" s="884">
        <f t="shared" si="11"/>
        <v>299.56158517639625</v>
      </c>
      <c r="AC81" s="886">
        <f t="shared" si="12"/>
        <v>0</v>
      </c>
      <c r="AD81" s="884">
        <f t="shared" si="13"/>
        <v>13255.610610570129</v>
      </c>
      <c r="AE81" s="884">
        <f t="shared" si="14"/>
        <v>664.27083823345436</v>
      </c>
      <c r="AF81" s="897">
        <f t="shared" si="15"/>
        <v>442.84722548896957</v>
      </c>
      <c r="AG81" s="1450">
        <f t="shared" si="56"/>
        <v>3.3303694900625028E-2</v>
      </c>
      <c r="AH81" s="891">
        <f>'Baseline data (from input)'!AS67*AG81</f>
        <v>2094.8362599747988</v>
      </c>
      <c r="AI81" s="885">
        <f>Parameters!S182</f>
        <v>0.71500000000000008</v>
      </c>
      <c r="AJ81" s="885">
        <f t="shared" si="17"/>
        <v>0.4</v>
      </c>
      <c r="AK81" s="884">
        <f t="shared" si="18"/>
        <v>299.56158517639625</v>
      </c>
      <c r="AL81" s="884">
        <f t="shared" si="19"/>
        <v>299.56158517639625</v>
      </c>
      <c r="AM81" s="886">
        <f t="shared" si="20"/>
        <v>0</v>
      </c>
      <c r="AN81" s="884">
        <f t="shared" si="21"/>
        <v>13255.610610570129</v>
      </c>
      <c r="AO81" s="884">
        <f t="shared" si="22"/>
        <v>664.27083823345436</v>
      </c>
      <c r="AP81" s="897">
        <f t="shared" si="23"/>
        <v>442.84722548896957</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442.84722548896957</v>
      </c>
      <c r="BD81" s="1607">
        <f t="shared" si="53"/>
        <v>4.034291356994312</v>
      </c>
      <c r="BE81" s="1606">
        <f t="shared" si="34"/>
        <v>912.46544774098629</v>
      </c>
      <c r="BF81" s="1608">
        <v>0</v>
      </c>
      <c r="BG81" s="1609">
        <f t="shared" si="35"/>
        <v>912.46544774098629</v>
      </c>
      <c r="BI81" s="1605">
        <f t="shared" si="36"/>
        <v>465.58393089502232</v>
      </c>
      <c r="BJ81" s="1606">
        <f t="shared" si="37"/>
        <v>442.84722548896957</v>
      </c>
      <c r="BK81" s="1607">
        <f t="shared" si="38"/>
        <v>4.034291356994312</v>
      </c>
      <c r="BL81" s="1606">
        <f t="shared" si="39"/>
        <v>912.46544774098629</v>
      </c>
      <c r="BM81" s="1608">
        <v>0</v>
      </c>
      <c r="BN81" s="1609">
        <f t="shared" si="40"/>
        <v>912.46544774098629</v>
      </c>
    </row>
    <row r="82" spans="1:66">
      <c r="A82" s="819">
        <f>'Input data'!A112</f>
        <v>2012</v>
      </c>
      <c r="B82" s="867">
        <f>'Input data'!B112</f>
        <v>52.325000000000003</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18374.59528039318</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808.03671174097656</v>
      </c>
      <c r="R82" s="884">
        <f t="shared" si="3"/>
        <v>808.03671174097656</v>
      </c>
      <c r="S82" s="886">
        <f t="shared" si="4"/>
        <v>0</v>
      </c>
      <c r="T82" s="884">
        <f t="shared" si="5"/>
        <v>14602.667395849543</v>
      </c>
      <c r="U82" s="884">
        <f t="shared" si="6"/>
        <v>707.26583927658862</v>
      </c>
      <c r="V82" s="897">
        <f t="shared" si="7"/>
        <v>471.51055951772577</v>
      </c>
      <c r="W82" s="1451">
        <f>D13</f>
        <v>2.197312110627072E-2</v>
      </c>
      <c r="X82" s="891">
        <f>'Baseline data (from input)'!AS68*W82</f>
        <v>1394.4586468111293</v>
      </c>
      <c r="Y82" s="885">
        <f>Parameters!S183</f>
        <v>0.71500000000000008</v>
      </c>
      <c r="Z82" s="885">
        <f t="shared" si="9"/>
        <v>0.4</v>
      </c>
      <c r="AA82" s="884">
        <f t="shared" si="10"/>
        <v>199.40758649399152</v>
      </c>
      <c r="AB82" s="884">
        <f t="shared" si="11"/>
        <v>199.40758649399152</v>
      </c>
      <c r="AC82" s="886">
        <f t="shared" si="12"/>
        <v>0</v>
      </c>
      <c r="AD82" s="884">
        <f t="shared" si="13"/>
        <v>12808.534438992174</v>
      </c>
      <c r="AE82" s="884">
        <f t="shared" si="14"/>
        <v>646.48375807194691</v>
      </c>
      <c r="AF82" s="897">
        <f t="shared" si="15"/>
        <v>430.98917204796459</v>
      </c>
      <c r="AG82" s="1449">
        <f>$D$13</f>
        <v>2.197312110627072E-2</v>
      </c>
      <c r="AH82" s="891">
        <f>'Baseline data (from input)'!AS68*AG82</f>
        <v>1394.4586468111293</v>
      </c>
      <c r="AI82" s="885">
        <f>Parameters!S183</f>
        <v>0.71500000000000008</v>
      </c>
      <c r="AJ82" s="885">
        <f t="shared" si="17"/>
        <v>0.4</v>
      </c>
      <c r="AK82" s="884">
        <f t="shared" si="18"/>
        <v>199.40758649399152</v>
      </c>
      <c r="AL82" s="884">
        <f t="shared" si="19"/>
        <v>199.40758649399152</v>
      </c>
      <c r="AM82" s="886">
        <f t="shared" si="20"/>
        <v>0</v>
      </c>
      <c r="AN82" s="884">
        <f t="shared" si="21"/>
        <v>12808.534438992174</v>
      </c>
      <c r="AO82" s="884">
        <f t="shared" si="22"/>
        <v>646.48375807194691</v>
      </c>
      <c r="AP82" s="897">
        <f t="shared" si="23"/>
        <v>430.98917204796459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430.98917204796459</v>
      </c>
      <c r="BD82" s="1607">
        <f t="shared" si="53"/>
        <v>4.2856186627342376</v>
      </c>
      <c r="BE82" s="1606">
        <f t="shared" si="34"/>
        <v>906.78535022842459</v>
      </c>
      <c r="BF82" s="1608">
        <v>0</v>
      </c>
      <c r="BG82" s="1609">
        <f t="shared" si="35"/>
        <v>906.78535022842459</v>
      </c>
      <c r="BI82" s="1605">
        <f t="shared" si="36"/>
        <v>471.51055951772577</v>
      </c>
      <c r="BJ82" s="1606">
        <f t="shared" si="37"/>
        <v>430.98917204796459</v>
      </c>
      <c r="BK82" s="1607">
        <f t="shared" si="38"/>
        <v>4.2856186627342376</v>
      </c>
      <c r="BL82" s="1606">
        <f t="shared" si="39"/>
        <v>906.78535022842459</v>
      </c>
      <c r="BM82" s="1608">
        <v>0</v>
      </c>
      <c r="BN82" s="1609">
        <f t="shared" si="40"/>
        <v>906.78535022842459</v>
      </c>
    </row>
    <row r="83" spans="1:66">
      <c r="A83" s="819">
        <f>'Input data'!A113</f>
        <v>2013</v>
      </c>
      <c r="B83" s="867">
        <f>'Input data'!B113</f>
        <v>53.103999999999999</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16840.658038780697</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740.58066246123144</v>
      </c>
      <c r="R83" s="884">
        <f t="shared" si="3"/>
        <v>740.58066246123144</v>
      </c>
      <c r="S83" s="886">
        <f t="shared" si="4"/>
        <v>0</v>
      </c>
      <c r="T83" s="884">
        <f t="shared" si="5"/>
        <v>14631.067565590532</v>
      </c>
      <c r="U83" s="884">
        <f t="shared" si="6"/>
        <v>712.180492720242</v>
      </c>
      <c r="V83" s="897">
        <f t="shared" si="7"/>
        <v>474.78699514682802</v>
      </c>
      <c r="W83" s="1451">
        <f>W82</f>
        <v>2.197312110627072E-2</v>
      </c>
      <c r="X83" s="891">
        <f>'Baseline data (from input)'!AS69*W83</f>
        <v>1429.0071094041416</v>
      </c>
      <c r="Y83" s="885">
        <f>Parameters!S184</f>
        <v>0.71500000000000008</v>
      </c>
      <c r="Z83" s="885">
        <f t="shared" si="9"/>
        <v>0.4</v>
      </c>
      <c r="AA83" s="884">
        <f t="shared" si="10"/>
        <v>204.3480166447923</v>
      </c>
      <c r="AB83" s="884">
        <f t="shared" si="11"/>
        <v>204.3480166447923</v>
      </c>
      <c r="AC83" s="886">
        <f t="shared" si="12"/>
        <v>0</v>
      </c>
      <c r="AD83" s="884">
        <f t="shared" si="13"/>
        <v>12388.202859744893</v>
      </c>
      <c r="AE83" s="884">
        <f t="shared" si="14"/>
        <v>624.67959589207248</v>
      </c>
      <c r="AF83" s="897">
        <f t="shared" si="15"/>
        <v>416.45306392804832</v>
      </c>
      <c r="AG83" s="1449">
        <f>AG82</f>
        <v>2.197312110627072E-2</v>
      </c>
      <c r="AH83" s="891">
        <f>'Baseline data (from input)'!AS69*AG83</f>
        <v>1429.0071094041416</v>
      </c>
      <c r="AI83" s="885">
        <f>Parameters!S184</f>
        <v>0.71500000000000008</v>
      </c>
      <c r="AJ83" s="885">
        <f t="shared" si="17"/>
        <v>0.4</v>
      </c>
      <c r="AK83" s="884">
        <f t="shared" si="18"/>
        <v>204.3480166447923</v>
      </c>
      <c r="AL83" s="884">
        <f t="shared" si="19"/>
        <v>204.3480166447923</v>
      </c>
      <c r="AM83" s="886">
        <f t="shared" si="20"/>
        <v>0</v>
      </c>
      <c r="AN83" s="884">
        <f t="shared" si="21"/>
        <v>12388.202859744893</v>
      </c>
      <c r="AO83" s="884">
        <f t="shared" si="22"/>
        <v>624.67959589207248</v>
      </c>
      <c r="AP83" s="897">
        <f t="shared" si="23"/>
        <v>416.45306392804832</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474.78699514682802</v>
      </c>
      <c r="BC83" s="1606">
        <f t="shared" si="32"/>
        <v>416.45306392804832</v>
      </c>
      <c r="BD83" s="1607">
        <f t="shared" si="53"/>
        <v>4.5223098056013837</v>
      </c>
      <c r="BE83" s="1606">
        <f t="shared" si="34"/>
        <v>895.76236888047777</v>
      </c>
      <c r="BF83" s="1608">
        <v>0</v>
      </c>
      <c r="BG83" s="1609">
        <f t="shared" si="35"/>
        <v>895.76236888047777</v>
      </c>
      <c r="BI83" s="1605">
        <f t="shared" si="36"/>
        <v>474.78699514682802</v>
      </c>
      <c r="BJ83" s="1606">
        <f t="shared" si="37"/>
        <v>416.45306392804832</v>
      </c>
      <c r="BK83" s="1607">
        <f t="shared" si="38"/>
        <v>4.5223098056013837</v>
      </c>
      <c r="BL83" s="1606">
        <f t="shared" si="39"/>
        <v>895.76236888047777</v>
      </c>
      <c r="BM83" s="1608">
        <v>0</v>
      </c>
      <c r="BN83" s="1609">
        <f t="shared" si="40"/>
        <v>895.76236888047777</v>
      </c>
    </row>
    <row r="84" spans="1:66">
      <c r="A84" s="819">
        <f>'Input data'!A114</f>
        <v>2014</v>
      </c>
      <c r="B84" s="867">
        <f>'Input data'!B114</f>
        <v>53.911999999999999</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15349.153981617965</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674.99064453119786</v>
      </c>
      <c r="R84" s="884">
        <f t="shared" si="3"/>
        <v>674.99064453119786</v>
      </c>
      <c r="S84" s="886">
        <f t="shared" si="4"/>
        <v>0</v>
      </c>
      <c r="T84" s="884">
        <f t="shared" si="5"/>
        <v>14592.492624778943</v>
      </c>
      <c r="U84" s="884">
        <f t="shared" si="6"/>
        <v>713.56558534278747</v>
      </c>
      <c r="V84" s="897">
        <f t="shared" si="7"/>
        <v>475.710390228525</v>
      </c>
      <c r="W84" s="1451">
        <f t="shared" ref="W84:W87" si="58">W83</f>
        <v>2.197312110627072E-2</v>
      </c>
      <c r="X84" s="891">
        <f>'Baseline data (from input)'!AS70*W84</f>
        <v>1455.8449372993139</v>
      </c>
      <c r="Y84" s="885">
        <f>Parameters!S185</f>
        <v>0.71500000000000008</v>
      </c>
      <c r="Z84" s="885">
        <f t="shared" si="9"/>
        <v>0.4</v>
      </c>
      <c r="AA84" s="884">
        <f t="shared" si="10"/>
        <v>208.1858260338019</v>
      </c>
      <c r="AB84" s="884">
        <f t="shared" si="11"/>
        <v>208.1858260338019</v>
      </c>
      <c r="AC84" s="886">
        <f t="shared" si="12"/>
        <v>0</v>
      </c>
      <c r="AD84" s="884">
        <f t="shared" si="13"/>
        <v>11992.208902907036</v>
      </c>
      <c r="AE84" s="884">
        <f t="shared" si="14"/>
        <v>604.17978287165886</v>
      </c>
      <c r="AF84" s="897">
        <f t="shared" si="15"/>
        <v>402.78652191443922</v>
      </c>
      <c r="AG84" s="1449">
        <f t="shared" ref="AG84:AG87" si="59">AG83</f>
        <v>2.197312110627072E-2</v>
      </c>
      <c r="AH84" s="891">
        <f>'Baseline data (from input)'!AS70*AG84</f>
        <v>1455.8449372993139</v>
      </c>
      <c r="AI84" s="885">
        <f>Parameters!S185</f>
        <v>0.71500000000000008</v>
      </c>
      <c r="AJ84" s="885">
        <f t="shared" si="17"/>
        <v>0.4</v>
      </c>
      <c r="AK84" s="884">
        <f t="shared" si="18"/>
        <v>208.1858260338019</v>
      </c>
      <c r="AL84" s="884">
        <f t="shared" si="19"/>
        <v>208.1858260338019</v>
      </c>
      <c r="AM84" s="886">
        <f t="shared" si="20"/>
        <v>0</v>
      </c>
      <c r="AN84" s="884">
        <f t="shared" si="21"/>
        <v>11992.208902907036</v>
      </c>
      <c r="AO84" s="884">
        <f t="shared" si="22"/>
        <v>604.17978287165886</v>
      </c>
      <c r="AP84" s="897">
        <f t="shared" si="23"/>
        <v>402.78652191443922</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475.710390228525</v>
      </c>
      <c r="BC84" s="1606">
        <f t="shared" si="32"/>
        <v>402.78652191443922</v>
      </c>
      <c r="BD84" s="1607">
        <f t="shared" si="53"/>
        <v>4.7452171293671848</v>
      </c>
      <c r="BE84" s="1606">
        <f t="shared" ref="BE84:BE120" si="60">SUM(BB84:BD84)</f>
        <v>883.24212927233145</v>
      </c>
      <c r="BF84" s="1608">
        <v>0</v>
      </c>
      <c r="BG84" s="1609">
        <f t="shared" si="35"/>
        <v>883.24212927233145</v>
      </c>
      <c r="BI84" s="1605">
        <f t="shared" si="36"/>
        <v>475.710390228525</v>
      </c>
      <c r="BJ84" s="1606">
        <f t="shared" si="37"/>
        <v>402.78652191443922</v>
      </c>
      <c r="BK84" s="1607">
        <f t="shared" si="38"/>
        <v>4.7452171293671848</v>
      </c>
      <c r="BL84" s="1606">
        <f t="shared" ref="BL84:BL120" si="61">SUM(BI84:BK84)</f>
        <v>883.24212927233145</v>
      </c>
      <c r="BM84" s="1608">
        <v>0</v>
      </c>
      <c r="BN84" s="1609">
        <f t="shared" si="40"/>
        <v>883.24212927233145</v>
      </c>
    </row>
    <row r="85" spans="1:66">
      <c r="A85" s="819">
        <f>'Input data'!A115</f>
        <v>2015</v>
      </c>
      <c r="B85" s="867">
        <f>'Input data'!B115</f>
        <v>54.75</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13901.439698167358</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611.32631498876003</v>
      </c>
      <c r="R85" s="884">
        <f t="shared" ref="R85:R120" si="63">Q85*$C$10</f>
        <v>611.32631498876003</v>
      </c>
      <c r="S85" s="886">
        <f t="shared" ref="S85:S120" si="64">Q85*(1-$C$10)</f>
        <v>0</v>
      </c>
      <c r="T85" s="884">
        <f t="shared" ref="T85:T115" si="65">R85+(T84*$C$8)</f>
        <v>14492.134676488147</v>
      </c>
      <c r="U85" s="884">
        <f t="shared" ref="U85:U120" si="66">S85+T84*(1-$C$8)</f>
        <v>711.68426327955535</v>
      </c>
      <c r="V85" s="897">
        <f t="shared" ref="V85:V120" si="67">U85*16/12*$C$11</f>
        <v>474.45617551970355</v>
      </c>
      <c r="W85" s="1451">
        <f t="shared" si="58"/>
        <v>2.197312110627072E-2</v>
      </c>
      <c r="X85" s="891">
        <f>'Baseline data (from input)'!AS71*W85</f>
        <v>1474.393832894307</v>
      </c>
      <c r="Y85" s="885">
        <f>Parameters!S186</f>
        <v>0.71500000000000008</v>
      </c>
      <c r="Z85" s="885">
        <f t="shared" ref="Z85:Z120" si="68">$D$3</f>
        <v>0.4</v>
      </c>
      <c r="AA85" s="884">
        <f t="shared" ref="AA85:AA120" si="69">X85*Z85*Y85*$D$4</f>
        <v>210.83831810388594</v>
      </c>
      <c r="AB85" s="884">
        <f t="shared" ref="AB85:AB120" si="70">AA85*$D$10</f>
        <v>210.83831810388594</v>
      </c>
      <c r="AC85" s="886">
        <f t="shared" ref="AC85:AC120" si="71">AA85*(1-$D$10)</f>
        <v>0</v>
      </c>
      <c r="AD85" s="884">
        <f t="shared" ref="AD85:AD120" si="72">AB85+(AD84*$D$8)</f>
        <v>11618.180291308485</v>
      </c>
      <c r="AE85" s="884">
        <f t="shared" ref="AE85:AE120" si="73">AC85+AD84*(1-$D$8)</f>
        <v>584.86692970243712</v>
      </c>
      <c r="AF85" s="897">
        <f t="shared" ref="AF85:AF120" si="74">AE85*16/12*$D$11</f>
        <v>389.91128646829139</v>
      </c>
      <c r="AG85" s="1449">
        <f t="shared" si="59"/>
        <v>2.197312110627072E-2</v>
      </c>
      <c r="AH85" s="891">
        <f>'Baseline data (from input)'!AS71*AG85</f>
        <v>1474.393832894307</v>
      </c>
      <c r="AI85" s="885">
        <f>Parameters!S186</f>
        <v>0.71500000000000008</v>
      </c>
      <c r="AJ85" s="885">
        <f t="shared" ref="AJ85:AJ120" si="75">$D$3</f>
        <v>0.4</v>
      </c>
      <c r="AK85" s="884">
        <f t="shared" ref="AK85:AK120" si="76">AH85*AJ85*AI85*$D$4</f>
        <v>210.83831810388594</v>
      </c>
      <c r="AL85" s="884">
        <f t="shared" ref="AL85:AL120" si="77">AK85*$D$10</f>
        <v>210.83831810388594</v>
      </c>
      <c r="AM85" s="886">
        <f t="shared" ref="AM85:AM120" si="78">AK85*(1-$D$10)</f>
        <v>0</v>
      </c>
      <c r="AN85" s="884">
        <f t="shared" ref="AN85:AN120" si="79">AL85+(AN84*$D$8)</f>
        <v>11618.180291308485</v>
      </c>
      <c r="AO85" s="884">
        <f t="shared" ref="AO85:AO120" si="80">AM85+AN84*(1-$D$8)</f>
        <v>584.86692970243712</v>
      </c>
      <c r="AP85" s="897">
        <f t="shared" ref="AP85:AP120" si="81">AO85*16/12*$D$11</f>
        <v>389.91128646829139</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474.45617551970355</v>
      </c>
      <c r="BC85" s="1606">
        <f t="shared" ref="BC85:BC120" si="87">AF85</f>
        <v>389.91128646829139</v>
      </c>
      <c r="BD85" s="1607">
        <f t="shared" si="53"/>
        <v>4.9551433411659982</v>
      </c>
      <c r="BE85" s="1606">
        <f t="shared" si="60"/>
        <v>869.32260532916098</v>
      </c>
      <c r="BF85" s="1608">
        <v>0</v>
      </c>
      <c r="BG85" s="1609">
        <f t="shared" ref="BG85:BG120" si="88">BE85-BF85</f>
        <v>869.32260532916098</v>
      </c>
      <c r="BI85" s="1605">
        <f t="shared" ref="BI85:BI120" si="89">V85</f>
        <v>474.45617551970355</v>
      </c>
      <c r="BJ85" s="1606">
        <f t="shared" ref="BJ85:BJ120" si="90">AP85</f>
        <v>389.91128646829139</v>
      </c>
      <c r="BK85" s="1607">
        <f t="shared" ref="BK85:BK120" si="91">AZ85</f>
        <v>4.9551433411659982</v>
      </c>
      <c r="BL85" s="1606">
        <f t="shared" si="61"/>
        <v>869.32260532916098</v>
      </c>
      <c r="BM85" s="1608">
        <v>0</v>
      </c>
      <c r="BN85" s="1609">
        <f t="shared" ref="BN85:BN120" si="92">BL85-BM85</f>
        <v>869.32260532916098</v>
      </c>
    </row>
    <row r="86" spans="1:66">
      <c r="A86" s="819">
        <f>'Input data'!A116</f>
        <v>2016</v>
      </c>
      <c r="B86" s="867">
        <f>'Input data'!B116</f>
        <v>55.62</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12499.261385037438</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549.66446414924781</v>
      </c>
      <c r="R86" s="884">
        <f t="shared" si="63"/>
        <v>549.66446414924781</v>
      </c>
      <c r="S86" s="886">
        <f t="shared" si="64"/>
        <v>0</v>
      </c>
      <c r="T86" s="884">
        <f t="shared" si="65"/>
        <v>14335.00939225191</v>
      </c>
      <c r="U86" s="884">
        <f t="shared" si="66"/>
        <v>706.78974838548561</v>
      </c>
      <c r="V86" s="897">
        <f t="shared" si="67"/>
        <v>471.19316559032376</v>
      </c>
      <c r="W86" s="1451">
        <f t="shared" si="58"/>
        <v>2.197312110627072E-2</v>
      </c>
      <c r="X86" s="891">
        <f>'Baseline data (from input)'!AS72*W86</f>
        <v>1486.1862848353171</v>
      </c>
      <c r="Y86" s="885">
        <f>Parameters!S187</f>
        <v>0.71500000000000008</v>
      </c>
      <c r="Z86" s="885">
        <f t="shared" si="68"/>
        <v>0.4</v>
      </c>
      <c r="AA86" s="884">
        <f t="shared" si="69"/>
        <v>212.52463873145038</v>
      </c>
      <c r="AB86" s="884">
        <f t="shared" si="70"/>
        <v>212.52463873145038</v>
      </c>
      <c r="AC86" s="886">
        <f t="shared" si="71"/>
        <v>0</v>
      </c>
      <c r="AD86" s="884">
        <f t="shared" si="72"/>
        <v>11264.079590978359</v>
      </c>
      <c r="AE86" s="884">
        <f t="shared" si="73"/>
        <v>566.62533906157694</v>
      </c>
      <c r="AF86" s="897">
        <f t="shared" si="74"/>
        <v>377.75022604105129</v>
      </c>
      <c r="AG86" s="1449">
        <f t="shared" si="59"/>
        <v>2.197312110627072E-2</v>
      </c>
      <c r="AH86" s="891">
        <f>'Baseline data (from input)'!AS72*AG86</f>
        <v>1486.1862848353171</v>
      </c>
      <c r="AI86" s="885">
        <f>Parameters!S187</f>
        <v>0.71500000000000008</v>
      </c>
      <c r="AJ86" s="885">
        <f t="shared" si="75"/>
        <v>0.4</v>
      </c>
      <c r="AK86" s="884">
        <f t="shared" si="76"/>
        <v>212.52463873145038</v>
      </c>
      <c r="AL86" s="884">
        <f t="shared" si="77"/>
        <v>212.52463873145038</v>
      </c>
      <c r="AM86" s="886">
        <f t="shared" si="78"/>
        <v>0</v>
      </c>
      <c r="AN86" s="884">
        <f t="shared" si="79"/>
        <v>11264.079590978359</v>
      </c>
      <c r="AO86" s="884">
        <f t="shared" si="80"/>
        <v>566.62533906157694</v>
      </c>
      <c r="AP86" s="897">
        <f t="shared" si="81"/>
        <v>377.75022604105129</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471.19316559032376</v>
      </c>
      <c r="BC86" s="1606">
        <f t="shared" si="87"/>
        <v>377.75022604105129</v>
      </c>
      <c r="BD86" s="1607">
        <f t="shared" si="53"/>
        <v>5.1528444021078155</v>
      </c>
      <c r="BE86" s="1606">
        <f t="shared" si="60"/>
        <v>854.09623603348291</v>
      </c>
      <c r="BF86" s="1608">
        <v>0</v>
      </c>
      <c r="BG86" s="1609">
        <f t="shared" si="88"/>
        <v>854.09623603348291</v>
      </c>
      <c r="BI86" s="1605">
        <f t="shared" si="89"/>
        <v>471.19316559032376</v>
      </c>
      <c r="BJ86" s="1606">
        <f t="shared" si="90"/>
        <v>377.75022604105129</v>
      </c>
      <c r="BK86" s="1607">
        <f t="shared" si="91"/>
        <v>5.1528444021078155</v>
      </c>
      <c r="BL86" s="1606">
        <f t="shared" si="61"/>
        <v>854.09623603348291</v>
      </c>
      <c r="BM86" s="1608">
        <v>0</v>
      </c>
      <c r="BN86" s="1609">
        <f t="shared" si="92"/>
        <v>854.09623603348291</v>
      </c>
    </row>
    <row r="87" spans="1:66" ht="13.2" customHeight="1" thickBot="1">
      <c r="A87" s="876">
        <f>'Input data'!A117</f>
        <v>2017</v>
      </c>
      <c r="B87" s="877">
        <f>'Input data'!B117</f>
        <v>56.521999999999998</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11144.041726220405</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490.06765561623229</v>
      </c>
      <c r="R87" s="894">
        <f t="shared" si="63"/>
        <v>490.06765561623229</v>
      </c>
      <c r="S87" s="895">
        <f t="shared" si="64"/>
        <v>0</v>
      </c>
      <c r="T87" s="894">
        <f t="shared" si="65"/>
        <v>14125.950390020347</v>
      </c>
      <c r="U87" s="894">
        <f t="shared" si="66"/>
        <v>699.12665784779551</v>
      </c>
      <c r="V87" s="898">
        <f t="shared" si="67"/>
        <v>466.08443856519699</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10929.772208856582</v>
      </c>
      <c r="AE87" s="884">
        <f t="shared" si="73"/>
        <v>549.35564412177644</v>
      </c>
      <c r="AF87" s="897">
        <f t="shared" si="74"/>
        <v>366.23709608118429</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10929.772208856582</v>
      </c>
      <c r="AO87" s="894">
        <f t="shared" si="80"/>
        <v>549.35564412177644</v>
      </c>
      <c r="AP87" s="898">
        <f t="shared" si="81"/>
        <v>366.23709608118429</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466.08443856519699</v>
      </c>
      <c r="BC87" s="1611">
        <f t="shared" si="87"/>
        <v>366.23709608118429</v>
      </c>
      <c r="BD87" s="1612">
        <f t="shared" si="53"/>
        <v>5.3390322495547968</v>
      </c>
      <c r="BE87" s="1611">
        <f t="shared" si="60"/>
        <v>837.66056689593597</v>
      </c>
      <c r="BF87" s="1613">
        <v>0</v>
      </c>
      <c r="BG87" s="1614">
        <f t="shared" si="88"/>
        <v>837.66056689593597</v>
      </c>
      <c r="BI87" s="1610">
        <f t="shared" si="89"/>
        <v>466.08443856519699</v>
      </c>
      <c r="BJ87" s="1611">
        <f t="shared" si="90"/>
        <v>366.23709608118429</v>
      </c>
      <c r="BK87" s="1612">
        <f t="shared" si="91"/>
        <v>5.3390322495547968</v>
      </c>
      <c r="BL87" s="1611">
        <f t="shared" si="61"/>
        <v>837.66056689593597</v>
      </c>
      <c r="BM87" s="1613">
        <v>0</v>
      </c>
      <c r="BN87" s="1614">
        <f t="shared" si="92"/>
        <v>837.66056689593597</v>
      </c>
    </row>
    <row r="88" spans="1:66">
      <c r="A88" s="926">
        <f>'Input data'!A118</f>
        <v>2018</v>
      </c>
      <c r="B88" s="820">
        <f>'Input data'!B118</f>
        <v>57.436</v>
      </c>
      <c r="C88" s="820">
        <f>'Recycling - Case 1'!AK98/B88</f>
        <v>414.20296140626306</v>
      </c>
      <c r="D88" s="822">
        <f>'Recycling - Case 1'!AM98</f>
        <v>0.44410860649933537</v>
      </c>
      <c r="E88" s="822">
        <f>'Recycling - Case 1'!BE98</f>
        <v>0.23448456973806805</v>
      </c>
      <c r="F88" s="822">
        <f>'Recycling - Case 1'!BF98</f>
        <v>0.29738987108943887</v>
      </c>
      <c r="G88" s="822">
        <f>'Recycling - Case 1'!BG98</f>
        <v>6.0622159472259698E-2</v>
      </c>
      <c r="H88" s="822">
        <f>'Recycling - Case 1'!BH98</f>
        <v>0</v>
      </c>
      <c r="I88" s="822">
        <f>'Recycling - Case 1'!BI98</f>
        <v>0</v>
      </c>
      <c r="J88" s="822">
        <f>'Recycling - Case 1'!BJ98</f>
        <v>0</v>
      </c>
      <c r="K88" s="822">
        <f>'Recycling - Case 1'!BK98</f>
        <v>0.40750339970023325</v>
      </c>
      <c r="L88" s="823">
        <f t="shared" si="100"/>
        <v>0.99999999999999978</v>
      </c>
      <c r="M88" s="99"/>
      <c r="N88" s="1015">
        <f>B88*C88*D88</f>
        <v>10565.415379487051</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0.11889952346750186</v>
      </c>
      <c r="Q88" s="836">
        <f t="shared" si="62"/>
        <v>465.04403724522297</v>
      </c>
      <c r="R88" s="836">
        <f t="shared" si="63"/>
        <v>465.04403724522297</v>
      </c>
      <c r="S88" s="837">
        <f t="shared" si="64"/>
        <v>0</v>
      </c>
      <c r="T88" s="836">
        <f t="shared" si="65"/>
        <v>13902.063697269914</v>
      </c>
      <c r="U88" s="836">
        <f t="shared" si="66"/>
        <v>688.93072999565561</v>
      </c>
      <c r="V88" s="1018">
        <f t="shared" si="67"/>
        <v>459.28715333043709</v>
      </c>
      <c r="W88" s="1449"/>
      <c r="X88" s="1019">
        <f>'Recycling - Case 1'!AM138</f>
        <v>1205.9824423623629</v>
      </c>
      <c r="Y88" s="1020">
        <f>Parameters!S189</f>
        <v>0.71500000000000008</v>
      </c>
      <c r="Z88" s="1021">
        <f t="shared" si="68"/>
        <v>0.4</v>
      </c>
      <c r="AA88" s="1022">
        <f t="shared" si="69"/>
        <v>172.45548925781793</v>
      </c>
      <c r="AB88" s="1022">
        <f t="shared" si="70"/>
        <v>172.45548925781793</v>
      </c>
      <c r="AC88" s="1023">
        <f t="shared" si="71"/>
        <v>0</v>
      </c>
      <c r="AD88" s="1022">
        <f t="shared" si="72"/>
        <v>10569.176417412364</v>
      </c>
      <c r="AE88" s="1022">
        <f t="shared" si="73"/>
        <v>533.05128070203773</v>
      </c>
      <c r="AF88" s="1024">
        <f t="shared" si="74"/>
        <v>355.36752046802513</v>
      </c>
      <c r="AG88" s="99"/>
      <c r="AH88" s="1019">
        <f>'Recycling - Case 1'!AM178</f>
        <v>1205.9824423623629</v>
      </c>
      <c r="AI88" s="1020">
        <f>Parameters!S189</f>
        <v>0.71500000000000008</v>
      </c>
      <c r="AJ88" s="1021">
        <f t="shared" si="75"/>
        <v>0.4</v>
      </c>
      <c r="AK88" s="1022">
        <f t="shared" si="76"/>
        <v>172.45548925781793</v>
      </c>
      <c r="AL88" s="1022">
        <f t="shared" si="77"/>
        <v>172.45548925781793</v>
      </c>
      <c r="AM88" s="1023">
        <f t="shared" si="78"/>
        <v>0</v>
      </c>
      <c r="AN88" s="1022">
        <f t="shared" si="79"/>
        <v>10569.176417412364</v>
      </c>
      <c r="AO88" s="1022">
        <f t="shared" si="80"/>
        <v>533.05128070203773</v>
      </c>
      <c r="AP88" s="1024">
        <f t="shared" si="81"/>
        <v>355.36752046802513</v>
      </c>
      <c r="AQ88" s="99"/>
      <c r="AR88" s="1060">
        <f>'Recycling - Case 1'!G98</f>
        <v>513.23802109781525</v>
      </c>
      <c r="AS88" s="1061">
        <v>1</v>
      </c>
      <c r="AT88" s="1062">
        <f t="shared" si="82"/>
        <v>0.05</v>
      </c>
      <c r="AU88" s="1039">
        <f t="shared" si="83"/>
        <v>12.830950527445381</v>
      </c>
      <c r="AV88" s="1039">
        <f t="shared" si="84"/>
        <v>12.830950527445381</v>
      </c>
      <c r="AW88" s="1040">
        <f t="shared" si="85"/>
        <v>0</v>
      </c>
      <c r="AX88" s="1039">
        <f t="shared" si="51"/>
        <v>146.59595687736515</v>
      </c>
      <c r="AY88" s="1039">
        <f t="shared" si="54"/>
        <v>8.2715660412971381</v>
      </c>
      <c r="AZ88" s="1063">
        <f t="shared" si="52"/>
        <v>5.514377360864759</v>
      </c>
      <c r="BB88" s="1052">
        <f t="shared" si="86"/>
        <v>459.28715333043709</v>
      </c>
      <c r="BC88" s="1053">
        <f t="shared" si="87"/>
        <v>355.36752046802513</v>
      </c>
      <c r="BD88" s="1081">
        <f>AZ88</f>
        <v>5.514377360864759</v>
      </c>
      <c r="BE88" s="1053">
        <f t="shared" si="60"/>
        <v>820.16905115932695</v>
      </c>
      <c r="BF88" s="1054">
        <v>0</v>
      </c>
      <c r="BG88" s="1074">
        <f t="shared" si="88"/>
        <v>820.16905115932695</v>
      </c>
      <c r="BI88" s="1052">
        <f t="shared" si="89"/>
        <v>459.28715333043709</v>
      </c>
      <c r="BJ88" s="1053">
        <f t="shared" si="90"/>
        <v>355.36752046802513</v>
      </c>
      <c r="BK88" s="1081">
        <f t="shared" si="91"/>
        <v>5.514377360864759</v>
      </c>
      <c r="BL88" s="1053">
        <f t="shared" si="61"/>
        <v>820.16905115932695</v>
      </c>
      <c r="BM88" s="1054">
        <v>0</v>
      </c>
      <c r="BN88" s="1074">
        <f t="shared" si="92"/>
        <v>820.16905115932695</v>
      </c>
    </row>
    <row r="89" spans="1:66">
      <c r="A89" s="927">
        <f>'Input data'!A119</f>
        <v>2019</v>
      </c>
      <c r="B89" s="824">
        <f>'Input data'!B119</f>
        <v>58.365000000000002</v>
      </c>
      <c r="C89" s="824">
        <f>'Recycling - Case 1'!AK99/B89</f>
        <v>403.99702646903836</v>
      </c>
      <c r="D89" s="826">
        <f>'Recycling - Case 1'!AM99</f>
        <v>0.42481492271799026</v>
      </c>
      <c r="E89" s="826">
        <f>'Recycling - Case 1'!BE99</f>
        <v>0.2288342517829437</v>
      </c>
      <c r="F89" s="826">
        <f>'Recycling - Case 1'!BF99</f>
        <v>0.29022373930445255</v>
      </c>
      <c r="G89" s="826">
        <f>'Recycling - Case 1'!BG99</f>
        <v>6.2281886963718655E-2</v>
      </c>
      <c r="H89" s="826">
        <f>'Recycling - Case 1'!BH99</f>
        <v>0</v>
      </c>
      <c r="I89" s="826">
        <f>'Recycling - Case 1'!BI99</f>
        <v>0</v>
      </c>
      <c r="J89" s="826">
        <f>'Recycling - Case 1'!BJ99</f>
        <v>0</v>
      </c>
      <c r="K89" s="826">
        <f>'Recycling - Case 1'!BK99</f>
        <v>0.41866012194888491</v>
      </c>
      <c r="L89" s="827">
        <f t="shared" si="100"/>
        <v>0.99999999999999978</v>
      </c>
      <c r="M89" s="99"/>
      <c r="N89" s="838">
        <f t="shared" si="57"/>
        <v>10016.832750944935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0.11728264041381953</v>
      </c>
      <c r="Q89" s="832">
        <f t="shared" si="62"/>
        <v>441.00206898757637</v>
      </c>
      <c r="R89" s="832">
        <f t="shared" si="63"/>
        <v>441.00206898757637</v>
      </c>
      <c r="S89" s="835">
        <f t="shared" si="64"/>
        <v>0</v>
      </c>
      <c r="T89" s="832">
        <f t="shared" si="65"/>
        <v>13665.054119113905</v>
      </c>
      <c r="U89" s="832">
        <f t="shared" si="66"/>
        <v>678.01164714358515</v>
      </c>
      <c r="V89" s="839">
        <f t="shared" si="67"/>
        <v>452.00776476239008</v>
      </c>
      <c r="W89" s="1449"/>
      <c r="X89" s="1025">
        <f>'Recycling - Case 1'!AM139</f>
        <v>973.82779837888586</v>
      </c>
      <c r="Y89" s="1026">
        <f>Parameters!S190</f>
        <v>0.71500000000000008</v>
      </c>
      <c r="Z89" s="1027">
        <f t="shared" si="68"/>
        <v>0.4</v>
      </c>
      <c r="AA89" s="1028">
        <f t="shared" si="69"/>
        <v>139.25737516818072</v>
      </c>
      <c r="AB89" s="1028">
        <f t="shared" si="70"/>
        <v>139.25737516818072</v>
      </c>
      <c r="AC89" s="1029">
        <f t="shared" si="71"/>
        <v>0</v>
      </c>
      <c r="AD89" s="1028">
        <f t="shared" si="72"/>
        <v>10192.968976149863</v>
      </c>
      <c r="AE89" s="1028">
        <f t="shared" si="73"/>
        <v>515.46481643068262</v>
      </c>
      <c r="AF89" s="1030">
        <f t="shared" si="74"/>
        <v>343.64321095378841</v>
      </c>
      <c r="AG89" s="99"/>
      <c r="AH89" s="1025">
        <f>'Recycling - Case 1'!AM179</f>
        <v>973.82779837888586</v>
      </c>
      <c r="AI89" s="1026">
        <f>Parameters!S190</f>
        <v>0.71500000000000008</v>
      </c>
      <c r="AJ89" s="1027">
        <f t="shared" si="75"/>
        <v>0.4</v>
      </c>
      <c r="AK89" s="1028">
        <f t="shared" si="76"/>
        <v>139.25737516818072</v>
      </c>
      <c r="AL89" s="1028">
        <f t="shared" si="77"/>
        <v>139.25737516818072</v>
      </c>
      <c r="AM89" s="1029">
        <f t="shared" si="78"/>
        <v>0</v>
      </c>
      <c r="AN89" s="1028">
        <f t="shared" si="79"/>
        <v>10192.968976149863</v>
      </c>
      <c r="AO89" s="1028">
        <f t="shared" si="80"/>
        <v>515.46481643068262</v>
      </c>
      <c r="AP89" s="1030">
        <f t="shared" si="81"/>
        <v>343.64321095378841</v>
      </c>
      <c r="AQ89" s="99"/>
      <c r="AR89" s="1064">
        <f>'Recycling - Case 1'!G99</f>
        <v>525.7428112174747</v>
      </c>
      <c r="AS89" s="1065">
        <v>1</v>
      </c>
      <c r="AT89" s="1066">
        <f t="shared" si="82"/>
        <v>0.05</v>
      </c>
      <c r="AU89" s="1044">
        <f t="shared" si="83"/>
        <v>13.143570280436869</v>
      </c>
      <c r="AV89" s="1044">
        <f t="shared" si="84"/>
        <v>13.143570280436869</v>
      </c>
      <c r="AW89" s="1045">
        <f t="shared" si="85"/>
        <v>0</v>
      </c>
      <c r="AX89" s="1044">
        <f t="shared" si="51"/>
        <v>151.2024432343853</v>
      </c>
      <c r="AY89" s="1044">
        <f t="shared" si="54"/>
        <v>8.5370839234167217</v>
      </c>
      <c r="AZ89" s="1067">
        <f t="shared" si="52"/>
        <v>5.6913892822778145</v>
      </c>
      <c r="BB89" s="1055">
        <f t="shared" si="86"/>
        <v>452.00776476239008</v>
      </c>
      <c r="BC89" s="1056">
        <f t="shared" si="87"/>
        <v>343.64321095378841</v>
      </c>
      <c r="BD89" s="1082">
        <f t="shared" ref="BD89:BD120" si="101">AZ89</f>
        <v>5.6913892822778145</v>
      </c>
      <c r="BE89" s="1056">
        <f t="shared" si="60"/>
        <v>801.34236499845622</v>
      </c>
      <c r="BF89" s="167">
        <v>0</v>
      </c>
      <c r="BG89" s="1075">
        <f t="shared" si="88"/>
        <v>801.34236499845622</v>
      </c>
      <c r="BI89" s="1055">
        <f t="shared" si="89"/>
        <v>452.00776476239008</v>
      </c>
      <c r="BJ89" s="1056">
        <f t="shared" si="90"/>
        <v>343.64321095378841</v>
      </c>
      <c r="BK89" s="1082">
        <f t="shared" si="91"/>
        <v>5.6913892822778145</v>
      </c>
      <c r="BL89" s="1056">
        <f t="shared" si="61"/>
        <v>801.34236499845622</v>
      </c>
      <c r="BM89" s="167">
        <v>0</v>
      </c>
      <c r="BN89" s="1075">
        <f t="shared" si="92"/>
        <v>801.34236499845622</v>
      </c>
    </row>
    <row r="90" spans="1:66">
      <c r="A90" s="927">
        <f>'Input data'!A120</f>
        <v>2020</v>
      </c>
      <c r="B90" s="824">
        <f>'Input data'!B120</f>
        <v>59.308999999999997</v>
      </c>
      <c r="C90" s="824">
        <f>'Recycling - Case 1'!AK100/B90</f>
        <v>394.54620189292064</v>
      </c>
      <c r="D90" s="826">
        <f>'Recycling - Case 1'!AM100</f>
        <v>0.40584088885029168</v>
      </c>
      <c r="E90" s="826">
        <f>'Recycling - Case 1'!BE100</f>
        <v>0.22306260108866519</v>
      </c>
      <c r="F90" s="826">
        <f>'Recycling - Case 1'!BF100</f>
        <v>0.28290372478127063</v>
      </c>
      <c r="G90" s="826">
        <f>'Recycling - Case 1'!BG100</f>
        <v>6.3977254800444486E-2</v>
      </c>
      <c r="H90" s="826">
        <f>'Recycling - Case 1'!BH100</f>
        <v>0</v>
      </c>
      <c r="I90" s="826">
        <f>'Recycling - Case 1'!BI100</f>
        <v>0</v>
      </c>
      <c r="J90" s="826">
        <f>'Recycling - Case 1'!BJ100</f>
        <v>0</v>
      </c>
      <c r="K90" s="826">
        <f>'Recycling - Case 1'!BK100</f>
        <v>0.4300564193296198</v>
      </c>
      <c r="L90" s="827">
        <f t="shared" si="100"/>
        <v>1</v>
      </c>
      <c r="M90" s="99"/>
      <c r="N90" s="838">
        <f t="shared" si="57"/>
        <v>9496.7338960670804</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0.1156310370397317</v>
      </c>
      <c r="Q90" s="832">
        <f t="shared" si="62"/>
        <v>417.91806092662898</v>
      </c>
      <c r="R90" s="832">
        <f t="shared" si="63"/>
        <v>417.91806092662898</v>
      </c>
      <c r="S90" s="835">
        <f t="shared" si="64"/>
        <v>0</v>
      </c>
      <c r="T90" s="832">
        <f t="shared" si="65"/>
        <v>13416.519626422461</v>
      </c>
      <c r="U90" s="832">
        <f t="shared" si="66"/>
        <v>666.45255361807369</v>
      </c>
      <c r="V90" s="839">
        <f t="shared" si="67"/>
        <v>444.30170241204911</v>
      </c>
      <c r="W90" s="1449"/>
      <c r="X90" s="1025">
        <f>'Recycling - Case 1'!AM140</f>
        <v>866.69816724804878</v>
      </c>
      <c r="Y90" s="1026">
        <f>Parameters!S191</f>
        <v>0.71500000000000008</v>
      </c>
      <c r="Z90" s="1027">
        <f t="shared" si="68"/>
        <v>0.4</v>
      </c>
      <c r="AA90" s="1028">
        <f t="shared" si="69"/>
        <v>123.93783791647101</v>
      </c>
      <c r="AB90" s="1028">
        <f t="shared" si="70"/>
        <v>123.93783791647101</v>
      </c>
      <c r="AC90" s="1029">
        <f t="shared" si="71"/>
        <v>0</v>
      </c>
      <c r="AD90" s="1028">
        <f t="shared" si="72"/>
        <v>9819.7898510531377</v>
      </c>
      <c r="AE90" s="1028">
        <f t="shared" si="73"/>
        <v>497.11696301319665</v>
      </c>
      <c r="AF90" s="1030">
        <f t="shared" si="74"/>
        <v>331.41130867546445</v>
      </c>
      <c r="AG90" s="104"/>
      <c r="AH90" s="1025">
        <f>'Recycling - Case 1'!AM180</f>
        <v>866.69816724804878</v>
      </c>
      <c r="AI90" s="1026">
        <f>Parameters!S191</f>
        <v>0.71500000000000008</v>
      </c>
      <c r="AJ90" s="1027">
        <f t="shared" si="75"/>
        <v>0.4</v>
      </c>
      <c r="AK90" s="1028">
        <f t="shared" si="76"/>
        <v>123.93783791647101</v>
      </c>
      <c r="AL90" s="1028">
        <f t="shared" si="77"/>
        <v>123.93783791647101</v>
      </c>
      <c r="AM90" s="1029">
        <f t="shared" si="78"/>
        <v>0</v>
      </c>
      <c r="AN90" s="1028">
        <f t="shared" si="79"/>
        <v>9819.7898510531377</v>
      </c>
      <c r="AO90" s="1028">
        <f t="shared" si="80"/>
        <v>497.11696301319665</v>
      </c>
      <c r="AP90" s="1030">
        <f t="shared" si="81"/>
        <v>331.41130867546445</v>
      </c>
      <c r="AQ90" s="104"/>
      <c r="AR90" s="1064">
        <f>'Recycling - Case 1'!G100</f>
        <v>538.51761122950779</v>
      </c>
      <c r="AS90" s="1065">
        <v>1</v>
      </c>
      <c r="AT90" s="1066">
        <f t="shared" si="82"/>
        <v>0.05</v>
      </c>
      <c r="AU90" s="1044">
        <f t="shared" si="83"/>
        <v>13.462940280737696</v>
      </c>
      <c r="AV90" s="1044">
        <f t="shared" si="84"/>
        <v>13.462940280737696</v>
      </c>
      <c r="AW90" s="1045">
        <f t="shared" si="85"/>
        <v>0</v>
      </c>
      <c r="AX90" s="1044">
        <f t="shared" si="51"/>
        <v>155.8600387101674</v>
      </c>
      <c r="AY90" s="1044">
        <f t="shared" si="54"/>
        <v>8.8053448049555847</v>
      </c>
      <c r="AZ90" s="1067">
        <f t="shared" si="52"/>
        <v>5.8702298699703901</v>
      </c>
      <c r="BB90" s="1055">
        <f t="shared" si="86"/>
        <v>444.30170241204911</v>
      </c>
      <c r="BC90" s="1056">
        <f t="shared" si="87"/>
        <v>331.41130867546445</v>
      </c>
      <c r="BD90" s="1082">
        <f t="shared" si="101"/>
        <v>5.8702298699703901</v>
      </c>
      <c r="BE90" s="1056">
        <f t="shared" si="60"/>
        <v>781.58324095748401</v>
      </c>
      <c r="BF90" s="167">
        <v>0</v>
      </c>
      <c r="BG90" s="1075">
        <f t="shared" si="88"/>
        <v>781.58324095748401</v>
      </c>
      <c r="BI90" s="1055">
        <f t="shared" si="89"/>
        <v>444.30170241204911</v>
      </c>
      <c r="BJ90" s="1056">
        <f t="shared" si="90"/>
        <v>331.41130867546445</v>
      </c>
      <c r="BK90" s="1082">
        <f t="shared" si="91"/>
        <v>5.8702298699703901</v>
      </c>
      <c r="BL90" s="1056">
        <f t="shared" si="61"/>
        <v>781.58324095748401</v>
      </c>
      <c r="BM90" s="167">
        <v>0</v>
      </c>
      <c r="BN90" s="1075">
        <f t="shared" si="92"/>
        <v>781.58324095748401</v>
      </c>
    </row>
    <row r="91" spans="1:66">
      <c r="A91" s="927">
        <f>'Input data'!A121</f>
        <v>2021</v>
      </c>
      <c r="B91" s="824">
        <f>'Input data'!B121</f>
        <v>59.991999999999997</v>
      </c>
      <c r="C91" s="824">
        <f>'Recycling - Case 1'!AK101/B91</f>
        <v>387.05952139660576</v>
      </c>
      <c r="D91" s="826">
        <f>'Recycling - Case 1'!AM101</f>
        <v>0.3877457261798628</v>
      </c>
      <c r="E91" s="826">
        <f>'Recycling - Case 1'!BE101</f>
        <v>0.217053315065382</v>
      </c>
      <c r="F91" s="826">
        <f>'Recycling - Case 1'!BF101</f>
        <v>0.27528232437185324</v>
      </c>
      <c r="G91" s="826">
        <f>'Recycling - Case 1'!BG101</f>
        <v>6.5742425768891999E-2</v>
      </c>
      <c r="H91" s="826">
        <f>'Recycling - Case 1'!BH101</f>
        <v>0</v>
      </c>
      <c r="I91" s="826">
        <f>'Recycling - Case 1'!BI101</f>
        <v>0</v>
      </c>
      <c r="J91" s="826">
        <f>'Recycling - Case 1'!BJ101</f>
        <v>0</v>
      </c>
      <c r="K91" s="826">
        <f>'Recycling - Case 1'!BK101</f>
        <v>0.44192193479387298</v>
      </c>
      <c r="L91" s="827">
        <f t="shared" si="100"/>
        <v>1.0000000000000002</v>
      </c>
      <c r="M91" s="104"/>
      <c r="N91" s="838">
        <f t="shared" si="57"/>
        <v>9003.6398665238321</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0.11391143244173475</v>
      </c>
      <c r="Q91" s="832">
        <f t="shared" si="62"/>
        <v>395.65167958784417</v>
      </c>
      <c r="R91" s="832">
        <f t="shared" si="63"/>
        <v>395.65167958784417</v>
      </c>
      <c r="S91" s="835">
        <f t="shared" si="64"/>
        <v>0</v>
      </c>
      <c r="T91" s="832">
        <f t="shared" si="65"/>
        <v>13157.839922632216</v>
      </c>
      <c r="U91" s="832">
        <f t="shared" si="66"/>
        <v>654.33138337808884</v>
      </c>
      <c r="V91" s="839">
        <f t="shared" si="67"/>
        <v>436.22092225205921</v>
      </c>
      <c r="W91" s="1449"/>
      <c r="X91" s="1025">
        <f>'Recycling - Case 1'!AM141</f>
        <v>683.21937524726729</v>
      </c>
      <c r="Y91" s="1026">
        <f>Parameters!S192</f>
        <v>0.71500000000000008</v>
      </c>
      <c r="Z91" s="1027">
        <f t="shared" si="68"/>
        <v>0.4</v>
      </c>
      <c r="AA91" s="1028">
        <f t="shared" si="69"/>
        <v>97.700370660359241</v>
      </c>
      <c r="AB91" s="1028">
        <f t="shared" si="70"/>
        <v>97.700370660359241</v>
      </c>
      <c r="AC91" s="1029">
        <f t="shared" si="71"/>
        <v>0</v>
      </c>
      <c r="AD91" s="1028">
        <f t="shared" si="72"/>
        <v>9438.5734193955868</v>
      </c>
      <c r="AE91" s="1028">
        <f t="shared" si="73"/>
        <v>478.91680231790934</v>
      </c>
      <c r="AF91" s="1030">
        <f t="shared" si="74"/>
        <v>319.27786821193956</v>
      </c>
      <c r="AG91" s="104"/>
      <c r="AH91" s="1025">
        <f>'Recycling - Case 1'!AM181</f>
        <v>683.21937524726729</v>
      </c>
      <c r="AI91" s="1026">
        <f>Parameters!S192</f>
        <v>0.71500000000000008</v>
      </c>
      <c r="AJ91" s="1027">
        <f t="shared" si="75"/>
        <v>0.4</v>
      </c>
      <c r="AK91" s="1028">
        <f t="shared" si="76"/>
        <v>97.700370660359241</v>
      </c>
      <c r="AL91" s="1028">
        <f t="shared" si="77"/>
        <v>97.700370660359241</v>
      </c>
      <c r="AM91" s="1029">
        <f t="shared" si="78"/>
        <v>0</v>
      </c>
      <c r="AN91" s="1028">
        <f t="shared" si="79"/>
        <v>9438.5734193955868</v>
      </c>
      <c r="AO91" s="1028">
        <f t="shared" si="80"/>
        <v>478.91680231790934</v>
      </c>
      <c r="AP91" s="1030">
        <f t="shared" si="81"/>
        <v>319.27786821193956</v>
      </c>
      <c r="AQ91" s="104"/>
      <c r="AR91" s="1064">
        <f>'Recycling - Case 1'!G101</f>
        <v>549.03974240012258</v>
      </c>
      <c r="AS91" s="1065">
        <v>1</v>
      </c>
      <c r="AT91" s="1066">
        <f t="shared" si="82"/>
        <v>0.05</v>
      </c>
      <c r="AU91" s="1044">
        <f t="shared" si="83"/>
        <v>13.725993560003065</v>
      </c>
      <c r="AV91" s="1044">
        <f t="shared" si="84"/>
        <v>13.725993560003065</v>
      </c>
      <c r="AW91" s="1045">
        <f t="shared" si="85"/>
        <v>0</v>
      </c>
      <c r="AX91" s="1044">
        <f t="shared" si="51"/>
        <v>160.50945022030683</v>
      </c>
      <c r="AY91" s="1044">
        <f t="shared" si="54"/>
        <v>9.0765820498636476</v>
      </c>
      <c r="AZ91" s="1067">
        <f t="shared" si="52"/>
        <v>6.0510546999090984</v>
      </c>
      <c r="BB91" s="1055">
        <f t="shared" si="86"/>
        <v>436.22092225205921</v>
      </c>
      <c r="BC91" s="1056">
        <f t="shared" si="87"/>
        <v>319.27786821193956</v>
      </c>
      <c r="BD91" s="1082">
        <f t="shared" si="101"/>
        <v>6.0510546999090984</v>
      </c>
      <c r="BE91" s="1056">
        <f t="shared" si="60"/>
        <v>761.54984516390789</v>
      </c>
      <c r="BF91" s="167">
        <v>0</v>
      </c>
      <c r="BG91" s="1075">
        <f t="shared" si="88"/>
        <v>761.54984516390789</v>
      </c>
      <c r="BI91" s="1055">
        <f t="shared" si="89"/>
        <v>436.22092225205921</v>
      </c>
      <c r="BJ91" s="1056">
        <f t="shared" si="90"/>
        <v>319.27786821193956</v>
      </c>
      <c r="BK91" s="1082">
        <f t="shared" si="91"/>
        <v>6.0510546999090984</v>
      </c>
      <c r="BL91" s="1056">
        <f t="shared" si="61"/>
        <v>761.54984516390789</v>
      </c>
      <c r="BM91" s="167">
        <v>0</v>
      </c>
      <c r="BN91" s="1075">
        <f t="shared" si="92"/>
        <v>761.54984516390789</v>
      </c>
    </row>
    <row r="92" spans="1:66">
      <c r="A92" s="927">
        <f>'Input data'!A122</f>
        <v>2022</v>
      </c>
      <c r="B92" s="824">
        <f>'Input data'!B122</f>
        <v>60.682000000000002</v>
      </c>
      <c r="C92" s="824">
        <f>'Recycling - Case 1'!AK102/B92</f>
        <v>380.1668339441718</v>
      </c>
      <c r="D92" s="826">
        <f>'Recycling - Case 1'!AM102</f>
        <v>0.37002225869797084</v>
      </c>
      <c r="E92" s="826">
        <f>'Recycling - Case 1'!BE102</f>
        <v>0.21085380255045888</v>
      </c>
      <c r="F92" s="826">
        <f>'Recycling - Case 1'!BF102</f>
        <v>0.26741966530780553</v>
      </c>
      <c r="G92" s="826">
        <f>'Recycling - Case 1'!BG102</f>
        <v>6.7563473971202423E-2</v>
      </c>
      <c r="H92" s="826">
        <f>'Recycling - Case 1'!BH102</f>
        <v>0</v>
      </c>
      <c r="I92" s="826">
        <f>'Recycling - Case 1'!BI102</f>
        <v>0</v>
      </c>
      <c r="J92" s="826">
        <f>'Recycling - Case 1'!BJ102</f>
        <v>0</v>
      </c>
      <c r="K92" s="826">
        <f>'Recycling - Case 1'!BK102</f>
        <v>0.4541630581705331</v>
      </c>
      <c r="L92" s="827">
        <f t="shared" si="100"/>
        <v>1</v>
      </c>
      <c r="M92" s="104"/>
      <c r="N92" s="838">
        <f t="shared" si="57"/>
        <v>8536.1485046589823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0.11213739303261092</v>
      </c>
      <c r="Q92" s="832">
        <f t="shared" si="62"/>
        <v>374.2367667727811</v>
      </c>
      <c r="R92" s="832">
        <f t="shared" si="63"/>
        <v>374.2367667727811</v>
      </c>
      <c r="S92" s="835">
        <f t="shared" si="64"/>
        <v>0</v>
      </c>
      <c r="T92" s="832">
        <f t="shared" si="65"/>
        <v>12890.361264050744</v>
      </c>
      <c r="U92" s="832">
        <f t="shared" si="66"/>
        <v>641.71542535425374</v>
      </c>
      <c r="V92" s="839">
        <f t="shared" si="67"/>
        <v>427.81028356950247</v>
      </c>
      <c r="W92" s="1449"/>
      <c r="X92" s="1025">
        <f>'Recycling - Case 1'!AM142</f>
        <v>582.29614538519911</v>
      </c>
      <c r="Y92" s="1026">
        <f>Parameters!S193</f>
        <v>0.71500000000000008</v>
      </c>
      <c r="Z92" s="1027">
        <f t="shared" si="68"/>
        <v>0.4</v>
      </c>
      <c r="AA92" s="1028">
        <f t="shared" si="69"/>
        <v>83.268348790083479</v>
      </c>
      <c r="AB92" s="1028">
        <f t="shared" si="70"/>
        <v>83.268348790083479</v>
      </c>
      <c r="AC92" s="1029">
        <f t="shared" si="71"/>
        <v>0</v>
      </c>
      <c r="AD92" s="1028">
        <f t="shared" si="72"/>
        <v>9061.5171106294838</v>
      </c>
      <c r="AE92" s="1028">
        <f t="shared" si="73"/>
        <v>460.32465755618637</v>
      </c>
      <c r="AF92" s="1030">
        <f t="shared" si="74"/>
        <v>306.8831050374576</v>
      </c>
      <c r="AG92" s="104"/>
      <c r="AH92" s="1025">
        <f>'Recycling - Case 1'!AM182</f>
        <v>582.29614538519911</v>
      </c>
      <c r="AI92" s="1026">
        <f>Parameters!S193</f>
        <v>0.71500000000000008</v>
      </c>
      <c r="AJ92" s="1027">
        <f t="shared" si="75"/>
        <v>0.4</v>
      </c>
      <c r="AK92" s="1028">
        <f t="shared" si="76"/>
        <v>83.268348790083479</v>
      </c>
      <c r="AL92" s="1028">
        <f t="shared" si="77"/>
        <v>83.268348790083479</v>
      </c>
      <c r="AM92" s="1029">
        <f t="shared" si="78"/>
        <v>0</v>
      </c>
      <c r="AN92" s="1028">
        <f t="shared" si="79"/>
        <v>9061.5171106294838</v>
      </c>
      <c r="AO92" s="1028">
        <f t="shared" si="80"/>
        <v>460.32465755618637</v>
      </c>
      <c r="AP92" s="1030">
        <f t="shared" si="81"/>
        <v>306.8831050374576</v>
      </c>
      <c r="AQ92" s="104"/>
      <c r="AR92" s="1064">
        <f>'Recycling - Case 1'!G102</f>
        <v>559.72481930992205</v>
      </c>
      <c r="AS92" s="1065">
        <v>1</v>
      </c>
      <c r="AT92" s="1066">
        <f t="shared" si="82"/>
        <v>0.05</v>
      </c>
      <c r="AU92" s="1044">
        <f t="shared" si="83"/>
        <v>13.993120482748052</v>
      </c>
      <c r="AV92" s="1044">
        <f t="shared" si="84"/>
        <v>13.993120482748052</v>
      </c>
      <c r="AW92" s="1045">
        <f t="shared" si="85"/>
        <v>0</v>
      </c>
      <c r="AX92" s="1044">
        <f t="shared" si="51"/>
        <v>165.1552280053395</v>
      </c>
      <c r="AY92" s="1044">
        <f t="shared" si="54"/>
        <v>9.34734269771538</v>
      </c>
      <c r="AZ92" s="1067">
        <f t="shared" si="52"/>
        <v>6.2315617984769203</v>
      </c>
      <c r="BB92" s="1055">
        <f t="shared" si="86"/>
        <v>427.81028356950247</v>
      </c>
      <c r="BC92" s="1056">
        <f t="shared" si="87"/>
        <v>306.8831050374576</v>
      </c>
      <c r="BD92" s="1082">
        <f t="shared" si="101"/>
        <v>6.2315617984769203</v>
      </c>
      <c r="BE92" s="1056">
        <f t="shared" si="60"/>
        <v>740.92495040543702</v>
      </c>
      <c r="BF92" s="167">
        <v>0</v>
      </c>
      <c r="BG92" s="1075">
        <f t="shared" si="88"/>
        <v>740.92495040543702</v>
      </c>
      <c r="BI92" s="1055">
        <f t="shared" si="89"/>
        <v>427.81028356950247</v>
      </c>
      <c r="BJ92" s="1056">
        <f t="shared" si="90"/>
        <v>306.8831050374576</v>
      </c>
      <c r="BK92" s="1082">
        <f t="shared" si="91"/>
        <v>6.2315617984769203</v>
      </c>
      <c r="BL92" s="1056">
        <f t="shared" si="61"/>
        <v>740.92495040543702</v>
      </c>
      <c r="BM92" s="167">
        <v>0</v>
      </c>
      <c r="BN92" s="1075">
        <f t="shared" si="92"/>
        <v>740.92495040543702</v>
      </c>
    </row>
    <row r="93" spans="1:66">
      <c r="A93" s="927">
        <f>'Input data'!A123</f>
        <v>2023</v>
      </c>
      <c r="B93" s="824">
        <f>'Input data'!B123</f>
        <v>61.381</v>
      </c>
      <c r="C93" s="824">
        <f>'Recycling - Case 1'!AK103/B93</f>
        <v>373.81912356399363</v>
      </c>
      <c r="D93" s="826">
        <f>'Recycling - Case 1'!AM103</f>
        <v>0.35270395856068582</v>
      </c>
      <c r="E93" s="826">
        <f>'Recycling - Case 1'!BE103</f>
        <v>0.20445863735330005</v>
      </c>
      <c r="F93" s="826">
        <f>'Recycling - Case 1'!BF103</f>
        <v>0.25930886571146877</v>
      </c>
      <c r="G93" s="826">
        <f>'Recycling - Case 1'!BG103</f>
        <v>6.9441993299574026E-2</v>
      </c>
      <c r="H93" s="826">
        <f>'Recycling - Case 1'!BH103</f>
        <v>0</v>
      </c>
      <c r="I93" s="826">
        <f>'Recycling - Case 1'!BI103</f>
        <v>0</v>
      </c>
      <c r="J93" s="826">
        <f>'Recycling - Case 1'!BJ103</f>
        <v>0</v>
      </c>
      <c r="K93" s="826">
        <f>'Recycling - Case 1'!BK103</f>
        <v>0.46679050363565738</v>
      </c>
      <c r="L93" s="827">
        <f t="shared" si="100"/>
        <v>1.0000000000000002</v>
      </c>
      <c r="M93" s="104"/>
      <c r="N93" s="838">
        <f t="shared" si="57"/>
        <v>8092.9304563271244</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0.11030736606511839</v>
      </c>
      <c r="Q93" s="832">
        <f t="shared" si="62"/>
        <v>353.65043756045776</v>
      </c>
      <c r="R93" s="832">
        <f t="shared" si="63"/>
        <v>353.65043756045776</v>
      </c>
      <c r="S93" s="835">
        <f t="shared" si="64"/>
        <v>0</v>
      </c>
      <c r="T93" s="832">
        <f t="shared" si="65"/>
        <v>12615.341364369744</v>
      </c>
      <c r="U93" s="832">
        <f t="shared" si="66"/>
        <v>628.67033724145836</v>
      </c>
      <c r="V93" s="839">
        <f t="shared" si="67"/>
        <v>419.11355816097222</v>
      </c>
      <c r="W93" s="1449"/>
      <c r="X93" s="1025">
        <f>'Recycling - Case 1'!AM143</f>
        <v>485.91304705842384</v>
      </c>
      <c r="Y93" s="1026">
        <f>Parameters!S194</f>
        <v>0.71500000000000008</v>
      </c>
      <c r="Z93" s="1027">
        <f t="shared" si="68"/>
        <v>0.4</v>
      </c>
      <c r="AA93" s="1028">
        <f t="shared" si="69"/>
        <v>69.485565729354619</v>
      </c>
      <c r="AB93" s="1028">
        <f t="shared" si="70"/>
        <v>69.485565729354619</v>
      </c>
      <c r="AC93" s="1029">
        <f t="shared" si="71"/>
        <v>0</v>
      </c>
      <c r="AD93" s="1028">
        <f t="shared" si="72"/>
        <v>8689.0672719768099</v>
      </c>
      <c r="AE93" s="1028">
        <f t="shared" si="73"/>
        <v>441.935404382027</v>
      </c>
      <c r="AF93" s="1030">
        <f t="shared" si="74"/>
        <v>294.62360292135133</v>
      </c>
      <c r="AG93" s="104"/>
      <c r="AH93" s="1025">
        <f>'Recycling - Case 1'!AM183</f>
        <v>485.91304705842384</v>
      </c>
      <c r="AI93" s="1026">
        <f>Parameters!S194</f>
        <v>0.71500000000000008</v>
      </c>
      <c r="AJ93" s="1027">
        <f t="shared" si="75"/>
        <v>0.4</v>
      </c>
      <c r="AK93" s="1028">
        <f t="shared" si="76"/>
        <v>69.485565729354619</v>
      </c>
      <c r="AL93" s="1028">
        <f t="shared" si="77"/>
        <v>69.485565729354619</v>
      </c>
      <c r="AM93" s="1029">
        <f t="shared" si="78"/>
        <v>0</v>
      </c>
      <c r="AN93" s="1028">
        <f t="shared" si="79"/>
        <v>8689.0672719768099</v>
      </c>
      <c r="AO93" s="1028">
        <f t="shared" si="80"/>
        <v>441.935404382027</v>
      </c>
      <c r="AP93" s="1030">
        <f t="shared" si="81"/>
        <v>294.62360292135133</v>
      </c>
      <c r="AQ93" s="104"/>
      <c r="AR93" s="1064">
        <f>'Recycling - Case 1'!G103</f>
        <v>570.59294620778201</v>
      </c>
      <c r="AS93" s="1065">
        <v>1</v>
      </c>
      <c r="AT93" s="1066">
        <f t="shared" si="82"/>
        <v>0.05</v>
      </c>
      <c r="AU93" s="1044">
        <f t="shared" si="83"/>
        <v>14.264823655194551</v>
      </c>
      <c r="AV93" s="1044">
        <f t="shared" si="84"/>
        <v>14.264823655194551</v>
      </c>
      <c r="AW93" s="1045">
        <f t="shared" si="85"/>
        <v>0</v>
      </c>
      <c r="AX93" s="1044">
        <f t="shared" si="51"/>
        <v>169.80215992664336</v>
      </c>
      <c r="AY93" s="1044">
        <f t="shared" si="54"/>
        <v>9.6178917338906942</v>
      </c>
      <c r="AZ93" s="1067">
        <f t="shared" si="52"/>
        <v>6.4119278225937961</v>
      </c>
      <c r="BB93" s="1055">
        <f t="shared" si="86"/>
        <v>419.11355816097222</v>
      </c>
      <c r="BC93" s="1056">
        <f t="shared" si="87"/>
        <v>294.62360292135133</v>
      </c>
      <c r="BD93" s="1082">
        <f t="shared" si="101"/>
        <v>6.4119278225937961</v>
      </c>
      <c r="BE93" s="1056">
        <f t="shared" si="60"/>
        <v>720.14908890491745</v>
      </c>
      <c r="BF93" s="167">
        <v>0</v>
      </c>
      <c r="BG93" s="1075">
        <f t="shared" si="88"/>
        <v>720.14908890491745</v>
      </c>
      <c r="BI93" s="1055">
        <f t="shared" si="89"/>
        <v>419.11355816097222</v>
      </c>
      <c r="BJ93" s="1056">
        <f t="shared" si="90"/>
        <v>294.62360292135133</v>
      </c>
      <c r="BK93" s="1082">
        <f t="shared" si="91"/>
        <v>6.4119278225937961</v>
      </c>
      <c r="BL93" s="1056">
        <f t="shared" si="61"/>
        <v>720.14908890491745</v>
      </c>
      <c r="BM93" s="167">
        <v>0</v>
      </c>
      <c r="BN93" s="1075">
        <f t="shared" si="92"/>
        <v>720.14908890491745</v>
      </c>
    </row>
    <row r="94" spans="1:66">
      <c r="A94" s="927">
        <f>'Input data'!A124</f>
        <v>2024</v>
      </c>
      <c r="B94" s="824">
        <f>'Input data'!B124</f>
        <v>62.088000000000001</v>
      </c>
      <c r="C94" s="824">
        <f>'Recycling - Case 1'!AK104/B94</f>
        <v>367.98352376704213</v>
      </c>
      <c r="D94" s="826">
        <f>'Recycling - Case 1'!AM104</f>
        <v>0.33582545410004938</v>
      </c>
      <c r="E94" s="826">
        <f>'Recycling - Case 1'!BE104</f>
        <v>0.19786076020309179</v>
      </c>
      <c r="F94" s="826">
        <f>'Recycling - Case 1'!BF104</f>
        <v>0.25094097251765984</v>
      </c>
      <c r="G94" s="826">
        <f>'Recycling - Case 1'!BG104</f>
        <v>7.1380057348082684E-2</v>
      </c>
      <c r="H94" s="826">
        <f>'Recycling - Case 1'!BH104</f>
        <v>0</v>
      </c>
      <c r="I94" s="826">
        <f>'Recycling - Case 1'!BI104</f>
        <v>0</v>
      </c>
      <c r="J94" s="826">
        <f>'Recycling - Case 1'!BJ104</f>
        <v>0</v>
      </c>
      <c r="K94" s="826">
        <f>'Recycling - Case 1'!BK104</f>
        <v>0.47981820993116581</v>
      </c>
      <c r="L94" s="827">
        <f t="shared" si="100"/>
        <v>1.0000000000000002</v>
      </c>
      <c r="M94" s="104"/>
      <c r="N94" s="838">
        <f t="shared" si="57"/>
        <v>7672.7253907543954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0.10841933147322881</v>
      </c>
      <c r="Q94" s="832">
        <f t="shared" si="62"/>
        <v>333.86853034309291</v>
      </c>
      <c r="R94" s="832">
        <f t="shared" si="63"/>
        <v>333.86853034309291</v>
      </c>
      <c r="S94" s="835">
        <f t="shared" si="64"/>
        <v>0</v>
      </c>
      <c r="T94" s="832">
        <f t="shared" si="65"/>
        <v>12333.952436252575</v>
      </c>
      <c r="U94" s="832">
        <f t="shared" si="66"/>
        <v>615.25745846026007</v>
      </c>
      <c r="V94" s="839">
        <f t="shared" si="67"/>
        <v>410.17163897350673</v>
      </c>
      <c r="W94" s="1449"/>
      <c r="X94" s="1025">
        <f>'Recycling - Case 1'!AM144</f>
        <v>419.32954285091336</v>
      </c>
      <c r="Y94" s="1026">
        <f>Parameters!S195</f>
        <v>0.71500000000000008</v>
      </c>
      <c r="Z94" s="1027">
        <f t="shared" si="68"/>
        <v>0.4</v>
      </c>
      <c r="AA94" s="1028">
        <f t="shared" si="69"/>
        <v>59.964124627680626</v>
      </c>
      <c r="AB94" s="1028">
        <f t="shared" si="70"/>
        <v>59.964124627680626</v>
      </c>
      <c r="AC94" s="1029">
        <f t="shared" si="71"/>
        <v>0</v>
      </c>
      <c r="AD94" s="1028">
        <f t="shared" si="72"/>
        <v>8325.2605851981698</v>
      </c>
      <c r="AE94" s="1028">
        <f t="shared" si="73"/>
        <v>423.77081140631992</v>
      </c>
      <c r="AF94" s="1030">
        <f t="shared" si="74"/>
        <v>282.51387427087997</v>
      </c>
      <c r="AG94" s="104"/>
      <c r="AH94" s="1025">
        <f>'Recycling - Case 1'!AM184</f>
        <v>419.32954285091336</v>
      </c>
      <c r="AI94" s="1026">
        <f>Parameters!S195</f>
        <v>0.71500000000000008</v>
      </c>
      <c r="AJ94" s="1027">
        <f t="shared" si="75"/>
        <v>0.4</v>
      </c>
      <c r="AK94" s="1028">
        <f t="shared" si="76"/>
        <v>59.964124627680626</v>
      </c>
      <c r="AL94" s="1028">
        <f t="shared" si="77"/>
        <v>59.964124627680626</v>
      </c>
      <c r="AM94" s="1029">
        <f t="shared" si="78"/>
        <v>0</v>
      </c>
      <c r="AN94" s="1028">
        <f t="shared" si="79"/>
        <v>8325.2605851981698</v>
      </c>
      <c r="AO94" s="1028">
        <f t="shared" si="80"/>
        <v>423.77081140631992</v>
      </c>
      <c r="AP94" s="1030">
        <f t="shared" si="81"/>
        <v>282.51387427087997</v>
      </c>
      <c r="AQ94" s="104"/>
      <c r="AR94" s="1064">
        <f>'Recycling - Case 1'!G104</f>
        <v>581.63669967536055</v>
      </c>
      <c r="AS94" s="1065">
        <v>1</v>
      </c>
      <c r="AT94" s="1066">
        <f t="shared" si="82"/>
        <v>0.05</v>
      </c>
      <c r="AU94" s="1044">
        <f t="shared" si="83"/>
        <v>14.540917491884015</v>
      </c>
      <c r="AV94" s="1044">
        <f t="shared" si="84"/>
        <v>14.540917491884015</v>
      </c>
      <c r="AW94" s="1045">
        <f t="shared" si="85"/>
        <v>0</v>
      </c>
      <c r="AX94" s="1044">
        <f t="shared" si="51"/>
        <v>174.4545694367973</v>
      </c>
      <c r="AY94" s="1044">
        <f t="shared" si="54"/>
        <v>9.8885079817300667</v>
      </c>
      <c r="AZ94" s="1067">
        <f t="shared" si="52"/>
        <v>6.5923386544867109</v>
      </c>
      <c r="BB94" s="1055">
        <f t="shared" si="86"/>
        <v>410.17163897350673</v>
      </c>
      <c r="BC94" s="1056">
        <f t="shared" si="87"/>
        <v>282.51387427087997</v>
      </c>
      <c r="BD94" s="1082">
        <f t="shared" si="101"/>
        <v>6.5923386544867109</v>
      </c>
      <c r="BE94" s="1056">
        <f t="shared" si="60"/>
        <v>699.27785189887345</v>
      </c>
      <c r="BF94" s="167">
        <v>0</v>
      </c>
      <c r="BG94" s="1075">
        <f t="shared" si="88"/>
        <v>699.27785189887345</v>
      </c>
      <c r="BI94" s="1055">
        <f t="shared" si="89"/>
        <v>410.17163897350673</v>
      </c>
      <c r="BJ94" s="1056">
        <f t="shared" si="90"/>
        <v>282.51387427087997</v>
      </c>
      <c r="BK94" s="1082">
        <f t="shared" si="91"/>
        <v>6.5923386544867109</v>
      </c>
      <c r="BL94" s="1056">
        <f t="shared" si="61"/>
        <v>699.27785189887345</v>
      </c>
      <c r="BM94" s="167">
        <v>0</v>
      </c>
      <c r="BN94" s="1075">
        <f t="shared" si="92"/>
        <v>699.27785189887345</v>
      </c>
    </row>
    <row r="95" spans="1:66">
      <c r="A95" s="927">
        <f>'Input data'!A125</f>
        <v>2025</v>
      </c>
      <c r="B95" s="824">
        <f>'Input data'!B125</f>
        <v>62.802999999999997</v>
      </c>
      <c r="C95" s="824">
        <f>'Recycling - Case 1'!AK105/B95</f>
        <v>362.62493890051189</v>
      </c>
      <c r="D95" s="826">
        <f>'Recycling - Case 1'!AM105</f>
        <v>0.31941509993879563</v>
      </c>
      <c r="E95" s="826">
        <f>'Recycling - Case 1'!BE105</f>
        <v>0.19105329196361256</v>
      </c>
      <c r="F95" s="826">
        <f>'Recycling - Case 1'!BF105</f>
        <v>0.24230726112059178</v>
      </c>
      <c r="G95" s="826">
        <f>'Recycling - Case 1'!BG105</f>
        <v>7.337968679797062E-2</v>
      </c>
      <c r="H95" s="826">
        <f>'Recycling - Case 1'!BH105</f>
        <v>0</v>
      </c>
      <c r="I95" s="826">
        <f>'Recycling - Case 1'!BI105</f>
        <v>0</v>
      </c>
      <c r="J95" s="826">
        <f>'Recycling - Case 1'!BJ105</f>
        <v>0</v>
      </c>
      <c r="K95" s="826">
        <f>'Recycling - Case 1'!BK105</f>
        <v>0.49325976011782507</v>
      </c>
      <c r="L95" s="827">
        <f t="shared" si="100"/>
        <v>1</v>
      </c>
      <c r="M95" s="104"/>
      <c r="N95" s="838">
        <f t="shared" si="57"/>
        <v>7274.3384166734759</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0.1064713207378485</v>
      </c>
      <c r="Q95" s="832">
        <f t="shared" si="62"/>
        <v>314.86746099391559</v>
      </c>
      <c r="R95" s="832">
        <f t="shared" si="63"/>
        <v>314.86746099391559</v>
      </c>
      <c r="S95" s="835">
        <f t="shared" si="64"/>
        <v>0</v>
      </c>
      <c r="T95" s="832">
        <f t="shared" si="65"/>
        <v>12047.285938749632</v>
      </c>
      <c r="U95" s="832">
        <f t="shared" si="66"/>
        <v>601.53395849685853</v>
      </c>
      <c r="V95" s="839">
        <f t="shared" si="67"/>
        <v>401.02263899790569</v>
      </c>
      <c r="W95" s="1449"/>
      <c r="X95" s="1025">
        <f>'Recycling - Case 1'!AM145</f>
        <v>395.8338264021213</v>
      </c>
      <c r="Y95" s="1026">
        <f>Parameters!S196</f>
        <v>0.71500000000000008</v>
      </c>
      <c r="Z95" s="1027">
        <f t="shared" si="68"/>
        <v>0.4</v>
      </c>
      <c r="AA95" s="1028">
        <f t="shared" si="69"/>
        <v>56.604237175503364</v>
      </c>
      <c r="AB95" s="1028">
        <f t="shared" si="70"/>
        <v>56.604237175503364</v>
      </c>
      <c r="AC95" s="1029">
        <f t="shared" si="71"/>
        <v>0</v>
      </c>
      <c r="AD95" s="1028">
        <f t="shared" si="72"/>
        <v>7975.8370724520355</v>
      </c>
      <c r="AE95" s="1028">
        <f t="shared" si="73"/>
        <v>406.02774992163717</v>
      </c>
      <c r="AF95" s="1030">
        <f t="shared" si="74"/>
        <v>270.68516661442476</v>
      </c>
      <c r="AG95" s="104"/>
      <c r="AH95" s="1025">
        <f>'Recycling - Case 1'!AM185</f>
        <v>395.8338264021213</v>
      </c>
      <c r="AI95" s="1026">
        <f>Parameters!S196</f>
        <v>0.71500000000000008</v>
      </c>
      <c r="AJ95" s="1027">
        <f t="shared" si="75"/>
        <v>0.4</v>
      </c>
      <c r="AK95" s="1028">
        <f t="shared" si="76"/>
        <v>56.604237175503364</v>
      </c>
      <c r="AL95" s="1028">
        <f t="shared" si="77"/>
        <v>56.604237175503364</v>
      </c>
      <c r="AM95" s="1029">
        <f t="shared" si="78"/>
        <v>0</v>
      </c>
      <c r="AN95" s="1028">
        <f t="shared" si="79"/>
        <v>7975.8370724520355</v>
      </c>
      <c r="AO95" s="1028">
        <f t="shared" si="80"/>
        <v>406.02774992163717</v>
      </c>
      <c r="AP95" s="1030">
        <f t="shared" si="81"/>
        <v>270.68516661442476</v>
      </c>
      <c r="AQ95" s="104"/>
      <c r="AR95" s="1064">
        <f>'Recycling - Case 1'!G105</f>
        <v>592.85780817693978</v>
      </c>
      <c r="AS95" s="1065">
        <v>1</v>
      </c>
      <c r="AT95" s="1066">
        <f t="shared" si="82"/>
        <v>0.05</v>
      </c>
      <c r="AU95" s="1044">
        <f t="shared" si="83"/>
        <v>14.821445204423496</v>
      </c>
      <c r="AV95" s="1044">
        <f t="shared" si="84"/>
        <v>14.821445204423496</v>
      </c>
      <c r="AW95" s="1045">
        <f t="shared" si="85"/>
        <v>0</v>
      </c>
      <c r="AX95" s="1044">
        <f t="shared" si="51"/>
        <v>179.11657142170984</v>
      </c>
      <c r="AY95" s="1044">
        <f t="shared" si="54"/>
        <v>10.159443219510958</v>
      </c>
      <c r="AZ95" s="1067">
        <f t="shared" si="52"/>
        <v>6.7729621463406389</v>
      </c>
      <c r="BB95" s="1055">
        <f t="shared" si="86"/>
        <v>401.02263899790569</v>
      </c>
      <c r="BC95" s="1056">
        <f t="shared" si="87"/>
        <v>270.68516661442476</v>
      </c>
      <c r="BD95" s="1082">
        <f t="shared" si="101"/>
        <v>6.7729621463406389</v>
      </c>
      <c r="BE95" s="1056">
        <f t="shared" si="60"/>
        <v>678.48076775867116</v>
      </c>
      <c r="BF95" s="167">
        <v>0</v>
      </c>
      <c r="BG95" s="1075">
        <f t="shared" si="88"/>
        <v>678.48076775867116</v>
      </c>
      <c r="BI95" s="1055">
        <f t="shared" si="89"/>
        <v>401.02263899790569</v>
      </c>
      <c r="BJ95" s="1056">
        <f t="shared" si="90"/>
        <v>270.68516661442476</v>
      </c>
      <c r="BK95" s="1082">
        <f t="shared" si="91"/>
        <v>6.7729621463406389</v>
      </c>
      <c r="BL95" s="1056">
        <f t="shared" si="61"/>
        <v>678.48076775867116</v>
      </c>
      <c r="BM95" s="167">
        <v>0</v>
      </c>
      <c r="BN95" s="1075">
        <f t="shared" si="92"/>
        <v>678.48076775867116</v>
      </c>
    </row>
    <row r="96" spans="1:66">
      <c r="A96" s="927">
        <f>'Input data'!A126</f>
        <v>2026</v>
      </c>
      <c r="B96" s="824">
        <f>'Input data'!B126</f>
        <v>63.420999999999999</v>
      </c>
      <c r="C96" s="824">
        <f>'Recycling - Case 1'!AK106/B96</f>
        <v>358.12696381533743</v>
      </c>
      <c r="D96" s="826">
        <f>'Recycling - Case 1'!AM106</f>
        <v>0.30364577426154632</v>
      </c>
      <c r="E96" s="826">
        <f>'Recycling - Case 1'!BE106</f>
        <v>0.18391052089777801</v>
      </c>
      <c r="F96" s="826">
        <f>'Recycling - Case 1'!BF106</f>
        <v>0.23324829502801372</v>
      </c>
      <c r="G96" s="826">
        <f>'Recycling - Case 1'!BG106</f>
        <v>7.547780828375561E-2</v>
      </c>
      <c r="H96" s="826">
        <f>'Recycling - Case 1'!BH106</f>
        <v>0</v>
      </c>
      <c r="I96" s="826">
        <f>'Recycling - Case 1'!BI106</f>
        <v>0</v>
      </c>
      <c r="J96" s="826">
        <f>'Recycling - Case 1'!BJ106</f>
        <v>0</v>
      </c>
      <c r="K96" s="826">
        <f>'Recycling - Case 1'!BK106</f>
        <v>0.50736337579045265</v>
      </c>
      <c r="L96" s="827">
        <f t="shared" si="100"/>
        <v>1</v>
      </c>
      <c r="M96" s="104"/>
      <c r="N96" s="838">
        <f t="shared" si="57"/>
        <v>6896.6366845417315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0.10442736045377168</v>
      </c>
      <c r="Q96" s="832">
        <f t="shared" si="62"/>
        <v>296.52749742542539</v>
      </c>
      <c r="R96" s="832">
        <f t="shared" si="63"/>
        <v>296.52749742542539</v>
      </c>
      <c r="S96" s="835">
        <f t="shared" si="64"/>
        <v>0</v>
      </c>
      <c r="T96" s="832">
        <f t="shared" si="65"/>
        <v>11756.260367737783</v>
      </c>
      <c r="U96" s="832">
        <f t="shared" si="66"/>
        <v>587.55306843727533</v>
      </c>
      <c r="V96" s="839">
        <f t="shared" si="67"/>
        <v>391.7020456248502</v>
      </c>
      <c r="W96" s="1449"/>
      <c r="X96" s="1025">
        <f>'Recycling - Case 1'!AM146</f>
        <v>331.69285870631273</v>
      </c>
      <c r="Y96" s="1026">
        <f>Parameters!S197</f>
        <v>0.71500000000000008</v>
      </c>
      <c r="Z96" s="1027">
        <f t="shared" si="68"/>
        <v>0.4</v>
      </c>
      <c r="AA96" s="1028">
        <f t="shared" si="69"/>
        <v>47.432078795002731</v>
      </c>
      <c r="AB96" s="1028">
        <f t="shared" si="70"/>
        <v>47.432078795002731</v>
      </c>
      <c r="AC96" s="1029">
        <f t="shared" si="71"/>
        <v>0</v>
      </c>
      <c r="AD96" s="1028">
        <f t="shared" si="72"/>
        <v>7634.2829871350123</v>
      </c>
      <c r="AE96" s="1028">
        <f t="shared" si="73"/>
        <v>388.98616411202607</v>
      </c>
      <c r="AF96" s="1030">
        <f t="shared" si="74"/>
        <v>259.32410940801736</v>
      </c>
      <c r="AG96" s="104"/>
      <c r="AH96" s="1025">
        <f>'Recycling - Case 1'!AM186</f>
        <v>331.69285870631273</v>
      </c>
      <c r="AI96" s="1026">
        <f>Parameters!S197</f>
        <v>0.71500000000000008</v>
      </c>
      <c r="AJ96" s="1027">
        <f t="shared" si="75"/>
        <v>0.4</v>
      </c>
      <c r="AK96" s="1028">
        <f t="shared" si="76"/>
        <v>47.432078795002731</v>
      </c>
      <c r="AL96" s="1028">
        <f t="shared" si="77"/>
        <v>47.432078795002731</v>
      </c>
      <c r="AM96" s="1029">
        <f t="shared" si="78"/>
        <v>0</v>
      </c>
      <c r="AN96" s="1028">
        <f t="shared" si="79"/>
        <v>7634.2829871350123</v>
      </c>
      <c r="AO96" s="1028">
        <f t="shared" si="80"/>
        <v>388.98616411202607</v>
      </c>
      <c r="AP96" s="1030">
        <f t="shared" si="81"/>
        <v>259.32410940801736</v>
      </c>
      <c r="AQ96" s="104"/>
      <c r="AR96" s="1064">
        <f>'Recycling - Case 1'!G106</f>
        <v>603.2592423450709</v>
      </c>
      <c r="AS96" s="1065">
        <v>1</v>
      </c>
      <c r="AT96" s="1066">
        <f t="shared" si="82"/>
        <v>0.05</v>
      </c>
      <c r="AU96" s="1044">
        <f t="shared" si="83"/>
        <v>15.081481058626773</v>
      </c>
      <c r="AV96" s="1044">
        <f t="shared" si="84"/>
        <v>15.081481058626773</v>
      </c>
      <c r="AW96" s="1045">
        <f t="shared" si="85"/>
        <v>0</v>
      </c>
      <c r="AX96" s="1044">
        <f t="shared" si="51"/>
        <v>183.76711540080311</v>
      </c>
      <c r="AY96" s="1044">
        <f t="shared" si="54"/>
        <v>10.430937079533498</v>
      </c>
      <c r="AZ96" s="1067">
        <f t="shared" si="52"/>
        <v>6.9539580530223324</v>
      </c>
      <c r="BB96" s="1055">
        <f t="shared" si="86"/>
        <v>391.7020456248502</v>
      </c>
      <c r="BC96" s="1056">
        <f t="shared" si="87"/>
        <v>259.32410940801736</v>
      </c>
      <c r="BD96" s="1082">
        <f t="shared" si="101"/>
        <v>6.9539580530223324</v>
      </c>
      <c r="BE96" s="1056">
        <f t="shared" si="60"/>
        <v>657.98011308588991</v>
      </c>
      <c r="BF96" s="167">
        <v>0</v>
      </c>
      <c r="BG96" s="1075">
        <f t="shared" si="88"/>
        <v>657.98011308588991</v>
      </c>
      <c r="BI96" s="1055">
        <f t="shared" si="89"/>
        <v>391.7020456248502</v>
      </c>
      <c r="BJ96" s="1056">
        <f t="shared" si="90"/>
        <v>259.32410940801736</v>
      </c>
      <c r="BK96" s="1082">
        <f t="shared" si="91"/>
        <v>6.9539580530223324</v>
      </c>
      <c r="BL96" s="1056">
        <f t="shared" si="61"/>
        <v>657.98011308588991</v>
      </c>
      <c r="BM96" s="167">
        <v>0</v>
      </c>
      <c r="BN96" s="1075">
        <f t="shared" si="92"/>
        <v>657.98011308588991</v>
      </c>
    </row>
    <row r="97" spans="1:66">
      <c r="A97" s="927">
        <f>'Input data'!A127</f>
        <v>2027</v>
      </c>
      <c r="B97" s="824">
        <f>'Input data'!B127</f>
        <v>64.046000000000006</v>
      </c>
      <c r="C97" s="824">
        <f>'Recycling - Case 1'!AK107/B97</f>
        <v>354.02635874595177</v>
      </c>
      <c r="D97" s="826">
        <f>'Recycling - Case 1'!AM107</f>
        <v>0.28837232909657329</v>
      </c>
      <c r="E97" s="826">
        <f>'Recycling - Case 1'!BE107</f>
        <v>0.17650658999763952</v>
      </c>
      <c r="F97" s="826">
        <f>'Recycling - Case 1'!BF107</f>
        <v>0.22385810761224087</v>
      </c>
      <c r="G97" s="826">
        <f>'Recycling - Case 1'!BG107</f>
        <v>7.7652643002335958E-2</v>
      </c>
      <c r="H97" s="826">
        <f>'Recycling - Case 1'!BH107</f>
        <v>0</v>
      </c>
      <c r="I97" s="826">
        <f>'Recycling - Case 1'!BI107</f>
        <v>0</v>
      </c>
      <c r="J97" s="826">
        <f>'Recycling - Case 1'!BJ107</f>
        <v>0</v>
      </c>
      <c r="K97" s="826">
        <f>'Recycling - Case 1'!BK107</f>
        <v>0.52198265938778365</v>
      </c>
      <c r="L97" s="827">
        <f t="shared" si="100"/>
        <v>1</v>
      </c>
      <c r="M97" s="104"/>
      <c r="N97" s="838">
        <f t="shared" si="57"/>
        <v>6538.546165180669</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0.10230866722302849</v>
      </c>
      <c r="Q97" s="832">
        <f t="shared" si="62"/>
        <v>278.90066884988153</v>
      </c>
      <c r="R97" s="832">
        <f t="shared" si="63"/>
        <v>278.90066884988153</v>
      </c>
      <c r="S97" s="835">
        <f t="shared" si="64"/>
        <v>0</v>
      </c>
      <c r="T97" s="832">
        <f t="shared" si="65"/>
        <v>11461.801452733645</v>
      </c>
      <c r="U97" s="832">
        <f t="shared" si="66"/>
        <v>573.35958385401909</v>
      </c>
      <c r="V97" s="839">
        <f t="shared" si="67"/>
        <v>382.23972256934604</v>
      </c>
      <c r="W97" s="1449"/>
      <c r="X97" s="1025">
        <f>'Recycling - Case 1'!AM147</f>
        <v>278.87373851119378</v>
      </c>
      <c r="Y97" s="1026">
        <f>Parameters!S198</f>
        <v>0.71500000000000008</v>
      </c>
      <c r="Z97" s="1027">
        <f t="shared" si="68"/>
        <v>0.4</v>
      </c>
      <c r="AA97" s="1028">
        <f t="shared" si="69"/>
        <v>39.878944607100713</v>
      </c>
      <c r="AB97" s="1028">
        <f t="shared" si="70"/>
        <v>39.878944607100713</v>
      </c>
      <c r="AC97" s="1029">
        <f t="shared" si="71"/>
        <v>0</v>
      </c>
      <c r="AD97" s="1028">
        <f t="shared" si="72"/>
        <v>7301.8335569351302</v>
      </c>
      <c r="AE97" s="1028">
        <f t="shared" si="73"/>
        <v>372.32837480698265</v>
      </c>
      <c r="AF97" s="1030">
        <f t="shared" si="74"/>
        <v>248.21891653798843</v>
      </c>
      <c r="AG97" s="104"/>
      <c r="AH97" s="1025">
        <f>'Recycling - Case 1'!AM187</f>
        <v>278.87373851119378</v>
      </c>
      <c r="AI97" s="1026">
        <f>Parameters!S198</f>
        <v>0.71500000000000008</v>
      </c>
      <c r="AJ97" s="1027">
        <f t="shared" si="75"/>
        <v>0.4</v>
      </c>
      <c r="AK97" s="1028">
        <f t="shared" si="76"/>
        <v>39.878944607100713</v>
      </c>
      <c r="AL97" s="1028">
        <f t="shared" si="77"/>
        <v>39.878944607100713</v>
      </c>
      <c r="AM97" s="1029">
        <f t="shared" si="78"/>
        <v>0</v>
      </c>
      <c r="AN97" s="1028">
        <f t="shared" si="79"/>
        <v>7301.8335569351302</v>
      </c>
      <c r="AO97" s="1028">
        <f t="shared" si="80"/>
        <v>372.32837480698265</v>
      </c>
      <c r="AP97" s="1030">
        <f t="shared" si="81"/>
        <v>248.21891653798843</v>
      </c>
      <c r="AQ97" s="104"/>
      <c r="AR97" s="1064">
        <f>'Recycling - Case 1'!G107</f>
        <v>613.81678041460282</v>
      </c>
      <c r="AS97" s="1065">
        <v>1</v>
      </c>
      <c r="AT97" s="1066">
        <f t="shared" si="82"/>
        <v>0.05</v>
      </c>
      <c r="AU97" s="1044">
        <f t="shared" si="83"/>
        <v>15.345419510365071</v>
      </c>
      <c r="AV97" s="1044">
        <f t="shared" si="84"/>
        <v>15.345419510365071</v>
      </c>
      <c r="AW97" s="1045">
        <f t="shared" si="85"/>
        <v>0</v>
      </c>
      <c r="AX97" s="1044">
        <f t="shared" si="51"/>
        <v>188.41077123392523</v>
      </c>
      <c r="AY97" s="1044">
        <f t="shared" si="54"/>
        <v>10.70176367724296</v>
      </c>
      <c r="AZ97" s="1067">
        <f t="shared" si="52"/>
        <v>7.1345091181619731</v>
      </c>
      <c r="BB97" s="1055">
        <f t="shared" si="86"/>
        <v>382.23972256934604</v>
      </c>
      <c r="BC97" s="1056">
        <f t="shared" si="87"/>
        <v>248.21891653798843</v>
      </c>
      <c r="BD97" s="1082">
        <f t="shared" si="101"/>
        <v>7.1345091181619731</v>
      </c>
      <c r="BE97" s="1056">
        <f t="shared" si="60"/>
        <v>637.59314822549641</v>
      </c>
      <c r="BF97" s="167">
        <v>0</v>
      </c>
      <c r="BG97" s="1075">
        <f t="shared" si="88"/>
        <v>637.59314822549641</v>
      </c>
      <c r="BI97" s="1055">
        <f t="shared" si="89"/>
        <v>382.23972256934604</v>
      </c>
      <c r="BJ97" s="1056">
        <f t="shared" si="90"/>
        <v>248.21891653798843</v>
      </c>
      <c r="BK97" s="1082">
        <f t="shared" si="91"/>
        <v>7.1345091181619731</v>
      </c>
      <c r="BL97" s="1056">
        <f t="shared" si="61"/>
        <v>637.59314822549641</v>
      </c>
      <c r="BM97" s="167">
        <v>0</v>
      </c>
      <c r="BN97" s="1075">
        <f t="shared" si="92"/>
        <v>637.59314822549641</v>
      </c>
    </row>
    <row r="98" spans="1:66">
      <c r="A98" s="927">
        <f>'Input data'!A128</f>
        <v>2028</v>
      </c>
      <c r="B98" s="824">
        <f>'Input data'!B128</f>
        <v>64.676000000000002</v>
      </c>
      <c r="C98" s="824">
        <f>'Recycling - Case 1'!AK108/B98</f>
        <v>344.55435824083094</v>
      </c>
      <c r="D98" s="826">
        <f>'Recycling - Case 1'!AM108</f>
        <v>0.27817887144532466</v>
      </c>
      <c r="E98" s="826">
        <f>'Recycling - Case 1'!BE108</f>
        <v>0.17731829174545324</v>
      </c>
      <c r="F98" s="826">
        <f>'Recycling - Case 1'!BF108</f>
        <v>0.2248875650235114</v>
      </c>
      <c r="G98" s="826">
        <f>'Recycling - Case 1'!BG108</f>
        <v>7.7414213286271905E-2</v>
      </c>
      <c r="H98" s="826">
        <f>'Recycling - Case 1'!BH108</f>
        <v>0</v>
      </c>
      <c r="I98" s="826">
        <f>'Recycling - Case 1'!BI108</f>
        <v>0</v>
      </c>
      <c r="J98" s="826">
        <f>'Recycling - Case 1'!BJ108</f>
        <v>0</v>
      </c>
      <c r="K98" s="826">
        <f>'Recycling - Case 1'!BK108</f>
        <v>0.52037992994476334</v>
      </c>
      <c r="L98" s="827">
        <f t="shared" si="100"/>
        <v>0.99999999999999989</v>
      </c>
      <c r="M98" s="104"/>
      <c r="N98" s="838">
        <f t="shared" si="57"/>
        <v>6199.0485956764105</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0.10254094208102903</v>
      </c>
      <c r="Q98" s="832">
        <f t="shared" si="62"/>
        <v>268.3202963845755</v>
      </c>
      <c r="R98" s="832">
        <f t="shared" si="63"/>
        <v>268.3202963845755</v>
      </c>
      <c r="S98" s="835">
        <f t="shared" si="64"/>
        <v>0</v>
      </c>
      <c r="T98" s="832">
        <f t="shared" si="65"/>
        <v>11171.123096009849</v>
      </c>
      <c r="U98" s="832">
        <f t="shared" si="66"/>
        <v>558.99865310837208</v>
      </c>
      <c r="V98" s="839">
        <f t="shared" si="67"/>
        <v>372.66576873891472</v>
      </c>
      <c r="W98" s="1449"/>
      <c r="X98" s="1025">
        <f>'Recycling - Case 1'!AM148</f>
        <v>255.97685816155689</v>
      </c>
      <c r="Y98" s="1026">
        <f>Parameters!S199</f>
        <v>0.71500000000000008</v>
      </c>
      <c r="Z98" s="1027">
        <f t="shared" si="68"/>
        <v>0.4</v>
      </c>
      <c r="AA98" s="1028">
        <f t="shared" si="69"/>
        <v>36.604690717102642</v>
      </c>
      <c r="AB98" s="1028">
        <f t="shared" si="70"/>
        <v>36.604690717102642</v>
      </c>
      <c r="AC98" s="1029">
        <f t="shared" si="71"/>
        <v>0</v>
      </c>
      <c r="AD98" s="1028">
        <f t="shared" si="72"/>
        <v>6982.323622880509</v>
      </c>
      <c r="AE98" s="1028">
        <f t="shared" si="73"/>
        <v>356.11462477172466</v>
      </c>
      <c r="AF98" s="1030">
        <f t="shared" si="74"/>
        <v>237.40974984781644</v>
      </c>
      <c r="AG98" s="104"/>
      <c r="AH98" s="1025">
        <f>'Recycling - Case 1'!AM188</f>
        <v>255.97685816155689</v>
      </c>
      <c r="AI98" s="1026">
        <f>Parameters!S199</f>
        <v>0.71500000000000008</v>
      </c>
      <c r="AJ98" s="1027">
        <f t="shared" si="75"/>
        <v>0.4</v>
      </c>
      <c r="AK98" s="1028">
        <f t="shared" si="76"/>
        <v>36.604690717102642</v>
      </c>
      <c r="AL98" s="1028">
        <f t="shared" si="77"/>
        <v>36.604690717102642</v>
      </c>
      <c r="AM98" s="1029">
        <f t="shared" si="78"/>
        <v>0</v>
      </c>
      <c r="AN98" s="1028">
        <f t="shared" si="79"/>
        <v>6982.323622880509</v>
      </c>
      <c r="AO98" s="1028">
        <f t="shared" si="80"/>
        <v>356.11462477172466</v>
      </c>
      <c r="AP98" s="1030">
        <f t="shared" si="81"/>
        <v>237.40974984781644</v>
      </c>
      <c r="AQ98" s="104"/>
      <c r="AR98" s="1064">
        <f>'Recycling - Case 1'!G108</f>
        <v>624.51262275570207</v>
      </c>
      <c r="AS98" s="1065">
        <v>1</v>
      </c>
      <c r="AT98" s="1066">
        <f t="shared" si="82"/>
        <v>0.05</v>
      </c>
      <c r="AU98" s="1044">
        <f t="shared" si="83"/>
        <v>15.612815568892552</v>
      </c>
      <c r="AV98" s="1044">
        <f t="shared" si="84"/>
        <v>15.612815568892552</v>
      </c>
      <c r="AW98" s="1045">
        <f t="shared" si="85"/>
        <v>0</v>
      </c>
      <c r="AX98" s="1044">
        <f t="shared" si="51"/>
        <v>193.05139766225875</v>
      </c>
      <c r="AY98" s="1044">
        <f t="shared" si="54"/>
        <v>10.972189140559051</v>
      </c>
      <c r="AZ98" s="1067">
        <f t="shared" si="52"/>
        <v>7.3147927603727005</v>
      </c>
      <c r="BB98" s="1055">
        <f t="shared" si="86"/>
        <v>372.66576873891472</v>
      </c>
      <c r="BC98" s="1056">
        <f t="shared" si="87"/>
        <v>237.40974984781644</v>
      </c>
      <c r="BD98" s="1082">
        <f t="shared" si="101"/>
        <v>7.3147927603727005</v>
      </c>
      <c r="BE98" s="1056">
        <f t="shared" si="60"/>
        <v>617.39031134710388</v>
      </c>
      <c r="BF98" s="167">
        <v>0</v>
      </c>
      <c r="BG98" s="1075">
        <f t="shared" si="88"/>
        <v>617.39031134710388</v>
      </c>
      <c r="BI98" s="1055">
        <f t="shared" si="89"/>
        <v>372.66576873891472</v>
      </c>
      <c r="BJ98" s="1056">
        <f t="shared" si="90"/>
        <v>237.40974984781644</v>
      </c>
      <c r="BK98" s="1082">
        <f t="shared" si="91"/>
        <v>7.3147927603727005</v>
      </c>
      <c r="BL98" s="1056">
        <f t="shared" si="61"/>
        <v>617.39031134710388</v>
      </c>
      <c r="BM98" s="167">
        <v>0</v>
      </c>
      <c r="BN98" s="1075">
        <f t="shared" si="92"/>
        <v>617.39031134710388</v>
      </c>
    </row>
    <row r="99" spans="1:66">
      <c r="A99" s="927">
        <f>'Input data'!A129</f>
        <v>2029</v>
      </c>
      <c r="B99" s="824">
        <f>'Input data'!B129</f>
        <v>65.313000000000002</v>
      </c>
      <c r="C99" s="824">
        <f>'Recycling - Case 1'!AK109/B99</f>
        <v>335.61617810446984</v>
      </c>
      <c r="D99" s="826">
        <f>'Recycling - Case 1'!AM109</f>
        <v>0.26811824461835465</v>
      </c>
      <c r="E99" s="826">
        <f>'Recycling - Case 1'!BE109</f>
        <v>0.17811818505941551</v>
      </c>
      <c r="F99" s="826">
        <f>'Recycling - Case 1'!BF109</f>
        <v>0.22590204614604426</v>
      </c>
      <c r="G99" s="826">
        <f>'Recycling - Case 1'!BG109</f>
        <v>7.7179252186036232E-2</v>
      </c>
      <c r="H99" s="826">
        <f>'Recycling - Case 1'!BH109</f>
        <v>0</v>
      </c>
      <c r="I99" s="826">
        <f>'Recycling - Case 1'!BI109</f>
        <v>0</v>
      </c>
      <c r="J99" s="826">
        <f>'Recycling - Case 1'!BJ109</f>
        <v>0</v>
      </c>
      <c r="K99" s="826">
        <f>'Recycling - Case 1'!BK109</f>
        <v>0.51880051660850379</v>
      </c>
      <c r="L99" s="827">
        <f t="shared" si="100"/>
        <v>0.99999999999999978</v>
      </c>
      <c r="M99" s="104"/>
      <c r="N99" s="838">
        <f t="shared" si="57"/>
        <v>5877.1785838566229</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0.10276983786253566</v>
      </c>
      <c r="Q99" s="832">
        <f t="shared" si="62"/>
        <v>258.0924318303833</v>
      </c>
      <c r="R99" s="832">
        <f t="shared" si="63"/>
        <v>258.0924318303833</v>
      </c>
      <c r="S99" s="835">
        <f t="shared" si="64"/>
        <v>0</v>
      </c>
      <c r="T99" s="832">
        <f t="shared" si="65"/>
        <v>10884.393425474467</v>
      </c>
      <c r="U99" s="832">
        <f t="shared" si="66"/>
        <v>544.82210236576577</v>
      </c>
      <c r="V99" s="839">
        <f t="shared" si="67"/>
        <v>363.21473491051051</v>
      </c>
      <c r="W99" s="1449"/>
      <c r="X99" s="1025">
        <f>'Recycling - Case 1'!AM149</f>
        <v>237.32754781688837</v>
      </c>
      <c r="Y99" s="1026">
        <f>Parameters!S200</f>
        <v>0.71500000000000008</v>
      </c>
      <c r="Z99" s="1027">
        <f t="shared" si="68"/>
        <v>0.4</v>
      </c>
      <c r="AA99" s="1028">
        <f t="shared" si="69"/>
        <v>33.937839337815042</v>
      </c>
      <c r="AB99" s="1028">
        <f t="shared" si="70"/>
        <v>33.937839337815042</v>
      </c>
      <c r="AC99" s="1029">
        <f t="shared" si="71"/>
        <v>0</v>
      </c>
      <c r="AD99" s="1028">
        <f t="shared" si="72"/>
        <v>6675.7295208081814</v>
      </c>
      <c r="AE99" s="1028">
        <f t="shared" si="73"/>
        <v>340.53194141014188</v>
      </c>
      <c r="AF99" s="1030">
        <f t="shared" si="74"/>
        <v>227.02129427342791</v>
      </c>
      <c r="AG99" s="104"/>
      <c r="AH99" s="1025">
        <f>'Recycling - Case 1'!AM189</f>
        <v>237.32754781688837</v>
      </c>
      <c r="AI99" s="1026">
        <f>Parameters!S200</f>
        <v>0.71500000000000008</v>
      </c>
      <c r="AJ99" s="1027">
        <f t="shared" si="75"/>
        <v>0.4</v>
      </c>
      <c r="AK99" s="1028">
        <f t="shared" si="76"/>
        <v>33.937839337815042</v>
      </c>
      <c r="AL99" s="1028">
        <f t="shared" si="77"/>
        <v>33.937839337815042</v>
      </c>
      <c r="AM99" s="1029">
        <f t="shared" si="78"/>
        <v>0</v>
      </c>
      <c r="AN99" s="1028">
        <f t="shared" si="79"/>
        <v>6675.7295208081814</v>
      </c>
      <c r="AO99" s="1028">
        <f t="shared" si="80"/>
        <v>340.53194141014188</v>
      </c>
      <c r="AP99" s="1030">
        <f t="shared" si="81"/>
        <v>227.02129427342791</v>
      </c>
      <c r="AQ99" s="104"/>
      <c r="AR99" s="1064">
        <f>'Recycling - Case 1'!G109</f>
        <v>635.36730573331556</v>
      </c>
      <c r="AS99" s="1065">
        <v>1</v>
      </c>
      <c r="AT99" s="1066">
        <f t="shared" si="82"/>
        <v>0.05</v>
      </c>
      <c r="AU99" s="1044">
        <f t="shared" si="83"/>
        <v>15.88418264333289</v>
      </c>
      <c r="AV99" s="1044">
        <f t="shared" si="84"/>
        <v>15.88418264333289</v>
      </c>
      <c r="AW99" s="1045">
        <f t="shared" si="85"/>
        <v>0</v>
      </c>
      <c r="AX99" s="1044">
        <f t="shared" si="51"/>
        <v>197.69314212051731</v>
      </c>
      <c r="AY99" s="1044">
        <f t="shared" si="54"/>
        <v>11.242438185074315</v>
      </c>
      <c r="AZ99" s="1067">
        <f t="shared" si="52"/>
        <v>7.4949587900495436</v>
      </c>
      <c r="BB99" s="1055">
        <f t="shared" si="86"/>
        <v>363.21473491051051</v>
      </c>
      <c r="BC99" s="1056">
        <f t="shared" si="87"/>
        <v>227.02129427342791</v>
      </c>
      <c r="BD99" s="1082">
        <f t="shared" si="101"/>
        <v>7.4949587900495436</v>
      </c>
      <c r="BE99" s="1056">
        <f t="shared" si="60"/>
        <v>597.73098797398791</v>
      </c>
      <c r="BF99" s="167">
        <v>0</v>
      </c>
      <c r="BG99" s="1075">
        <f t="shared" si="88"/>
        <v>597.73098797398791</v>
      </c>
      <c r="BI99" s="1055">
        <f t="shared" si="89"/>
        <v>363.21473491051051</v>
      </c>
      <c r="BJ99" s="1056">
        <f t="shared" si="90"/>
        <v>227.02129427342791</v>
      </c>
      <c r="BK99" s="1082">
        <f t="shared" si="91"/>
        <v>7.4949587900495436</v>
      </c>
      <c r="BL99" s="1056">
        <f t="shared" si="61"/>
        <v>597.73098797398791</v>
      </c>
      <c r="BM99" s="167">
        <v>0</v>
      </c>
      <c r="BN99" s="1075">
        <f t="shared" si="92"/>
        <v>597.73098797398791</v>
      </c>
    </row>
    <row r="100" spans="1:66">
      <c r="A100" s="927">
        <f>'Input data'!A130</f>
        <v>2030</v>
      </c>
      <c r="B100" s="824">
        <f>'Input data'!B130</f>
        <v>65.956000000000003</v>
      </c>
      <c r="C100" s="824">
        <f>'Recycling - Case 1'!AK110/B100</f>
        <v>327.18284828468609</v>
      </c>
      <c r="D100" s="826">
        <f>'Recycling - Case 1'!AM110</f>
        <v>0.25820693095911784</v>
      </c>
      <c r="E100" s="826">
        <f>'Recycling - Case 1'!BE110</f>
        <v>0.17890517565001685</v>
      </c>
      <c r="F100" s="826">
        <f>'Recycling - Case 1'!BF110</f>
        <v>0.22690016312469646</v>
      </c>
      <c r="G100" s="826">
        <f>'Recycling - Case 1'!BG110</f>
        <v>7.6948081138828922E-2</v>
      </c>
      <c r="H100" s="826">
        <f>'Recycling - Case 1'!BH110</f>
        <v>0</v>
      </c>
      <c r="I100" s="826">
        <f>'Recycling - Case 1'!BI110</f>
        <v>0</v>
      </c>
      <c r="J100" s="826">
        <f>'Recycling - Case 1'!BJ110</f>
        <v>0</v>
      </c>
      <c r="K100" s="826">
        <f>'Recycling - Case 1'!BK110</f>
        <v>0.51724658008645763</v>
      </c>
      <c r="L100" s="827">
        <f t="shared" si="100"/>
        <v>0.99999999999999989</v>
      </c>
      <c r="M100" s="104"/>
      <c r="N100" s="838">
        <f t="shared" si="57"/>
        <v>5572.0208631102023</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0.10299504142797339</v>
      </c>
      <c r="Q100" s="832">
        <f t="shared" si="62"/>
        <v>248.20764974151786</v>
      </c>
      <c r="R100" s="832">
        <f t="shared" si="63"/>
        <v>248.20764974151786</v>
      </c>
      <c r="S100" s="835">
        <f t="shared" si="64"/>
        <v>0</v>
      </c>
      <c r="T100" s="832">
        <f t="shared" si="65"/>
        <v>10601.762943894952</v>
      </c>
      <c r="U100" s="832">
        <f t="shared" si="66"/>
        <v>530.83813132103455</v>
      </c>
      <c r="V100" s="839">
        <f t="shared" si="67"/>
        <v>353.89208754735637</v>
      </c>
      <c r="W100" s="1449"/>
      <c r="X100" s="1025">
        <f>'Recycling - Case 1'!AM150</f>
        <v>223.01809824494129</v>
      </c>
      <c r="Y100" s="1026">
        <f>Parameters!S201</f>
        <v>0.71500000000000008</v>
      </c>
      <c r="Z100" s="1027">
        <f t="shared" si="68"/>
        <v>0.4</v>
      </c>
      <c r="AA100" s="1028">
        <f t="shared" si="69"/>
        <v>31.891588049026609</v>
      </c>
      <c r="AB100" s="1028">
        <f t="shared" si="70"/>
        <v>31.891588049026609</v>
      </c>
      <c r="AC100" s="1029">
        <f t="shared" si="71"/>
        <v>0</v>
      </c>
      <c r="AD100" s="1028">
        <f t="shared" si="72"/>
        <v>6382.0419382498203</v>
      </c>
      <c r="AE100" s="1028">
        <f t="shared" si="73"/>
        <v>325.57917060738765</v>
      </c>
      <c r="AF100" s="1030">
        <f t="shared" si="74"/>
        <v>217.0527804049251</v>
      </c>
      <c r="AG100" s="104"/>
      <c r="AH100" s="1025">
        <f>'Recycling - Case 1'!AM190</f>
        <v>223.01809824494129</v>
      </c>
      <c r="AI100" s="1026">
        <f>Parameters!S201</f>
        <v>0.71500000000000008</v>
      </c>
      <c r="AJ100" s="1027">
        <f t="shared" si="75"/>
        <v>0.4</v>
      </c>
      <c r="AK100" s="1028">
        <f t="shared" si="76"/>
        <v>31.891588049026609</v>
      </c>
      <c r="AL100" s="1028">
        <f t="shared" si="77"/>
        <v>31.891588049026609</v>
      </c>
      <c r="AM100" s="1029">
        <f t="shared" si="78"/>
        <v>0</v>
      </c>
      <c r="AN100" s="1028">
        <f t="shared" si="79"/>
        <v>6382.0419382498203</v>
      </c>
      <c r="AO100" s="1028">
        <f t="shared" si="80"/>
        <v>325.57917060738765</v>
      </c>
      <c r="AP100" s="1030">
        <f t="shared" si="81"/>
        <v>217.0527804049251</v>
      </c>
      <c r="AQ100" s="104"/>
      <c r="AR100" s="1064">
        <f>'Recycling - Case 1'!G110</f>
        <v>646.37254169696007</v>
      </c>
      <c r="AS100" s="1065">
        <v>1</v>
      </c>
      <c r="AT100" s="1066">
        <f t="shared" si="82"/>
        <v>0.05</v>
      </c>
      <c r="AU100" s="1044">
        <f t="shared" si="83"/>
        <v>16.159313542424002</v>
      </c>
      <c r="AV100" s="1044">
        <f t="shared" si="84"/>
        <v>16.159313542424002</v>
      </c>
      <c r="AW100" s="1045">
        <f t="shared" si="85"/>
        <v>0</v>
      </c>
      <c r="AX100" s="1044">
        <f t="shared" si="51"/>
        <v>202.33970332435757</v>
      </c>
      <c r="AY100" s="1044">
        <f t="shared" si="54"/>
        <v>11.512752338583731</v>
      </c>
      <c r="AZ100" s="1067">
        <f t="shared" si="52"/>
        <v>7.6751682257224871</v>
      </c>
      <c r="BB100" s="1055">
        <f t="shared" si="86"/>
        <v>353.89208754735637</v>
      </c>
      <c r="BC100" s="1056">
        <f t="shared" si="87"/>
        <v>217.0527804049251</v>
      </c>
      <c r="BD100" s="1082">
        <f t="shared" si="101"/>
        <v>7.6751682257224871</v>
      </c>
      <c r="BE100" s="1056">
        <f t="shared" si="60"/>
        <v>578.62003617800394</v>
      </c>
      <c r="BF100" s="167">
        <v>0</v>
      </c>
      <c r="BG100" s="1075">
        <f t="shared" si="88"/>
        <v>578.62003617800394</v>
      </c>
      <c r="BI100" s="1055">
        <f t="shared" si="89"/>
        <v>353.89208754735637</v>
      </c>
      <c r="BJ100" s="1056">
        <f t="shared" si="90"/>
        <v>217.0527804049251</v>
      </c>
      <c r="BK100" s="1082">
        <f t="shared" si="91"/>
        <v>7.6751682257224871</v>
      </c>
      <c r="BL100" s="1056">
        <f t="shared" si="61"/>
        <v>578.62003617800394</v>
      </c>
      <c r="BM100" s="167">
        <v>0</v>
      </c>
      <c r="BN100" s="1075">
        <f t="shared" si="92"/>
        <v>578.62003617800394</v>
      </c>
    </row>
    <row r="101" spans="1:66">
      <c r="A101" s="927">
        <f>'Input data'!A131</f>
        <v>2031</v>
      </c>
      <c r="B101" s="824">
        <f>'Input data'!B131</f>
        <v>66.519000000000005</v>
      </c>
      <c r="C101" s="824">
        <f>'Recycling - Case 1'!AK111/B101</f>
        <v>320.01008968298481</v>
      </c>
      <c r="D101" s="826">
        <f>'Recycling - Case 1'!AM111</f>
        <v>0.24936673840938819</v>
      </c>
      <c r="E101" s="826">
        <f>'Recycling - Case 1'!BE111</f>
        <v>0.17957799925834</v>
      </c>
      <c r="F101" s="826">
        <f>'Recycling - Case 1'!BF111</f>
        <v>0.22775348548347124</v>
      </c>
      <c r="G101" s="826">
        <f>'Recycling - Case 1'!BG111</f>
        <v>7.6750445563538203E-2</v>
      </c>
      <c r="H101" s="826">
        <f>'Recycling - Case 1'!BH111</f>
        <v>0</v>
      </c>
      <c r="I101" s="826">
        <f>'Recycling - Case 1'!BI111</f>
        <v>0</v>
      </c>
      <c r="J101" s="826">
        <f>'Recycling - Case 1'!BJ111</f>
        <v>0</v>
      </c>
      <c r="K101" s="826">
        <f>'Recycling - Case 1'!BK111</f>
        <v>0.5159180696946507</v>
      </c>
      <c r="L101" s="827">
        <f t="shared" si="100"/>
        <v>1.0000000000000002</v>
      </c>
      <c r="M101" s="104"/>
      <c r="N101" s="838">
        <f t="shared" si="57"/>
        <v>5308.2077070098494</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0.10318757521086053</v>
      </c>
      <c r="Q101" s="832">
        <f t="shared" si="62"/>
        <v>238.74664411759926</v>
      </c>
      <c r="R101" s="832">
        <f t="shared" si="63"/>
        <v>238.74664411759926</v>
      </c>
      <c r="S101" s="835">
        <f t="shared" si="64"/>
        <v>0</v>
      </c>
      <c r="T101" s="832">
        <f t="shared" si="65"/>
        <v>10323.455507931789</v>
      </c>
      <c r="U101" s="832">
        <f t="shared" si="66"/>
        <v>517.0540800807612</v>
      </c>
      <c r="V101" s="839">
        <f t="shared" si="67"/>
        <v>344.70272005384078</v>
      </c>
      <c r="W101" s="1449"/>
      <c r="X101" s="1025">
        <f>'Recycling - Case 1'!AM151</f>
        <v>182.90344908796462</v>
      </c>
      <c r="Y101" s="1026">
        <f>Parameters!S202</f>
        <v>0.71500000000000008</v>
      </c>
      <c r="Z101" s="1027">
        <f t="shared" si="68"/>
        <v>0.4</v>
      </c>
      <c r="AA101" s="1028">
        <f t="shared" si="69"/>
        <v>26.155193219578944</v>
      </c>
      <c r="AB101" s="1028">
        <f t="shared" si="70"/>
        <v>26.155193219578944</v>
      </c>
      <c r="AC101" s="1029">
        <f t="shared" si="71"/>
        <v>0</v>
      </c>
      <c r="AD101" s="1028">
        <f t="shared" si="72"/>
        <v>6096.9412732803767</v>
      </c>
      <c r="AE101" s="1028">
        <f t="shared" si="73"/>
        <v>311.25585818902232</v>
      </c>
      <c r="AF101" s="1030">
        <f t="shared" si="74"/>
        <v>207.5039054593482</v>
      </c>
      <c r="AG101" s="104"/>
      <c r="AH101" s="1025">
        <f>'Recycling - Case 1'!AM191</f>
        <v>182.90344908796462</v>
      </c>
      <c r="AI101" s="1026">
        <f>Parameters!S202</f>
        <v>0.71500000000000008</v>
      </c>
      <c r="AJ101" s="1027">
        <f t="shared" si="75"/>
        <v>0.4</v>
      </c>
      <c r="AK101" s="1028">
        <f t="shared" si="76"/>
        <v>26.155193219578944</v>
      </c>
      <c r="AL101" s="1028">
        <f t="shared" si="77"/>
        <v>26.155193219578944</v>
      </c>
      <c r="AM101" s="1029">
        <f t="shared" si="78"/>
        <v>0</v>
      </c>
      <c r="AN101" s="1028">
        <f t="shared" si="79"/>
        <v>6096.9412732803767</v>
      </c>
      <c r="AO101" s="1028">
        <f t="shared" si="80"/>
        <v>311.25585818902232</v>
      </c>
      <c r="AP101" s="1030">
        <f t="shared" si="81"/>
        <v>207.5039054593482</v>
      </c>
      <c r="AQ101" s="104"/>
      <c r="AR101" s="1064">
        <f>'Recycling - Case 1'!G111</f>
        <v>656.68062845237228</v>
      </c>
      <c r="AS101" s="1065">
        <v>1</v>
      </c>
      <c r="AT101" s="1066">
        <f t="shared" si="82"/>
        <v>0.05</v>
      </c>
      <c r="AU101" s="1044">
        <f t="shared" si="83"/>
        <v>16.417015711309308</v>
      </c>
      <c r="AV101" s="1044">
        <f t="shared" si="84"/>
        <v>16.417015711309308</v>
      </c>
      <c r="AW101" s="1045">
        <f t="shared" si="85"/>
        <v>0</v>
      </c>
      <c r="AX101" s="1044">
        <f t="shared" si="51"/>
        <v>206.9733720381482</v>
      </c>
      <c r="AY101" s="1044">
        <f t="shared" si="54"/>
        <v>11.783346997518702</v>
      </c>
      <c r="AZ101" s="1067">
        <f t="shared" si="52"/>
        <v>7.8555646650124684</v>
      </c>
      <c r="BB101" s="1055">
        <f t="shared" si="86"/>
        <v>344.70272005384078</v>
      </c>
      <c r="BC101" s="1056">
        <f t="shared" si="87"/>
        <v>207.5039054593482</v>
      </c>
      <c r="BD101" s="1082">
        <f t="shared" si="101"/>
        <v>7.8555646650124684</v>
      </c>
      <c r="BE101" s="1056">
        <f t="shared" si="60"/>
        <v>560.06219017820149</v>
      </c>
      <c r="BF101" s="167">
        <v>0</v>
      </c>
      <c r="BG101" s="1075">
        <f t="shared" si="88"/>
        <v>560.06219017820149</v>
      </c>
      <c r="BI101" s="1055">
        <f t="shared" si="89"/>
        <v>344.70272005384078</v>
      </c>
      <c r="BJ101" s="1056">
        <f t="shared" si="90"/>
        <v>207.5039054593482</v>
      </c>
      <c r="BK101" s="1082">
        <f t="shared" si="91"/>
        <v>7.8555646650124684</v>
      </c>
      <c r="BL101" s="1056">
        <f t="shared" si="61"/>
        <v>560.06219017820149</v>
      </c>
      <c r="BM101" s="167">
        <v>0</v>
      </c>
      <c r="BN101" s="1075">
        <f t="shared" si="92"/>
        <v>560.06219017820149</v>
      </c>
    </row>
    <row r="102" spans="1:66">
      <c r="A102" s="927">
        <f>'Input data'!A132</f>
        <v>2032</v>
      </c>
      <c r="B102" s="824">
        <f>'Input data'!B132</f>
        <v>67.087000000000003</v>
      </c>
      <c r="C102" s="824">
        <f>'Recycling - Case 1'!AK112/B102</f>
        <v>312.95082637027912</v>
      </c>
      <c r="D102" s="826">
        <f>'Recycling - Case 1'!AM112</f>
        <v>0.24026724780995198</v>
      </c>
      <c r="E102" s="826">
        <f>'Recycling - Case 1'!BE112</f>
        <v>0.18024194903680238</v>
      </c>
      <c r="F102" s="826">
        <f>'Recycling - Case 1'!BF112</f>
        <v>0.22859555342528654</v>
      </c>
      <c r="G102" s="826">
        <f>'Recycling - Case 1'!BG112</f>
        <v>7.6555416591891953E-2</v>
      </c>
      <c r="H102" s="826">
        <f>'Recycling - Case 1'!BH112</f>
        <v>0</v>
      </c>
      <c r="I102" s="826">
        <f>'Recycling - Case 1'!BI112</f>
        <v>0</v>
      </c>
      <c r="J102" s="826">
        <f>'Recycling - Case 1'!BJ112</f>
        <v>0</v>
      </c>
      <c r="K102" s="826">
        <f>'Recycling - Case 1'!BK112</f>
        <v>0.51460708094601892</v>
      </c>
      <c r="L102" s="827">
        <f t="shared" si="100"/>
        <v>0.99999999999999978</v>
      </c>
      <c r="M102" s="104"/>
      <c r="N102" s="838">
        <f t="shared" si="57"/>
        <v>5044.3945509094965</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0.10337756967733444</v>
      </c>
      <c r="Q102" s="832">
        <f t="shared" si="62"/>
        <v>229.05888169643458</v>
      </c>
      <c r="R102" s="832">
        <f t="shared" si="63"/>
        <v>229.05888169643458</v>
      </c>
      <c r="S102" s="835">
        <f t="shared" si="64"/>
        <v>0</v>
      </c>
      <c r="T102" s="832">
        <f t="shared" si="65"/>
        <v>10049.033523365117</v>
      </c>
      <c r="U102" s="832">
        <f t="shared" si="66"/>
        <v>503.48086626310703</v>
      </c>
      <c r="V102" s="839">
        <f t="shared" si="67"/>
        <v>335.65391084207135</v>
      </c>
      <c r="W102" s="1449"/>
      <c r="X102" s="1025">
        <f>'Recycling - Case 1'!AM152</f>
        <v>142.67277074209056</v>
      </c>
      <c r="Y102" s="1026">
        <f>Parameters!S203</f>
        <v>0.71500000000000008</v>
      </c>
      <c r="Z102" s="1027">
        <f t="shared" si="68"/>
        <v>0.4</v>
      </c>
      <c r="AA102" s="1028">
        <f t="shared" si="69"/>
        <v>20.402206216118952</v>
      </c>
      <c r="AB102" s="1028">
        <f t="shared" si="70"/>
        <v>20.402206216118952</v>
      </c>
      <c r="AC102" s="1029">
        <f t="shared" si="71"/>
        <v>0</v>
      </c>
      <c r="AD102" s="1028">
        <f t="shared" si="72"/>
        <v>5819.9921448132627</v>
      </c>
      <c r="AE102" s="1028">
        <f t="shared" si="73"/>
        <v>297.3513346832334</v>
      </c>
      <c r="AF102" s="1030">
        <f t="shared" si="74"/>
        <v>198.23422312215561</v>
      </c>
      <c r="AG102" s="104"/>
      <c r="AH102" s="1025">
        <f>'Recycling - Case 1'!AM192</f>
        <v>142.67277074209056</v>
      </c>
      <c r="AI102" s="1026">
        <f>Parameters!S203</f>
        <v>0.71500000000000008</v>
      </c>
      <c r="AJ102" s="1027">
        <f t="shared" si="75"/>
        <v>0.4</v>
      </c>
      <c r="AK102" s="1028">
        <f t="shared" si="76"/>
        <v>20.402206216118952</v>
      </c>
      <c r="AL102" s="1028">
        <f t="shared" si="77"/>
        <v>20.402206216118952</v>
      </c>
      <c r="AM102" s="1029">
        <f t="shared" si="78"/>
        <v>0</v>
      </c>
      <c r="AN102" s="1028">
        <f t="shared" si="79"/>
        <v>5819.9921448132627</v>
      </c>
      <c r="AO102" s="1028">
        <f t="shared" si="80"/>
        <v>297.3513346832334</v>
      </c>
      <c r="AP102" s="1030">
        <f t="shared" si="81"/>
        <v>198.23422312215561</v>
      </c>
      <c r="AQ102" s="104"/>
      <c r="AR102" s="1064">
        <f>'Recycling - Case 1'!G112</f>
        <v>667.11952946746214</v>
      </c>
      <c r="AS102" s="1065">
        <v>1</v>
      </c>
      <c r="AT102" s="1066">
        <f t="shared" si="82"/>
        <v>0.05</v>
      </c>
      <c r="AU102" s="1044">
        <f t="shared" si="83"/>
        <v>16.677988236686556</v>
      </c>
      <c r="AV102" s="1044">
        <f t="shared" si="84"/>
        <v>16.677988236686556</v>
      </c>
      <c r="AW102" s="1045">
        <f t="shared" si="85"/>
        <v>0</v>
      </c>
      <c r="AX102" s="1044">
        <f t="shared" si="51"/>
        <v>211.59816941855237</v>
      </c>
      <c r="AY102" s="1044">
        <f t="shared" si="54"/>
        <v>12.053190856282374</v>
      </c>
      <c r="AZ102" s="1067">
        <f t="shared" si="52"/>
        <v>8.0354605708549158</v>
      </c>
      <c r="BB102" s="1055">
        <f t="shared" si="86"/>
        <v>335.65391084207135</v>
      </c>
      <c r="BC102" s="1056">
        <f t="shared" si="87"/>
        <v>198.23422312215561</v>
      </c>
      <c r="BD102" s="1082">
        <f t="shared" si="101"/>
        <v>8.0354605708549158</v>
      </c>
      <c r="BE102" s="1056">
        <f t="shared" si="60"/>
        <v>541.92359453508186</v>
      </c>
      <c r="BF102" s="167">
        <v>0</v>
      </c>
      <c r="BG102" s="1075">
        <f t="shared" si="88"/>
        <v>541.92359453508186</v>
      </c>
      <c r="BI102" s="1055">
        <f t="shared" si="89"/>
        <v>335.65391084207135</v>
      </c>
      <c r="BJ102" s="1056">
        <f t="shared" si="90"/>
        <v>198.23422312215561</v>
      </c>
      <c r="BK102" s="1082">
        <f t="shared" si="91"/>
        <v>8.0354605708549158</v>
      </c>
      <c r="BL102" s="1056">
        <f t="shared" si="61"/>
        <v>541.92359453508186</v>
      </c>
      <c r="BM102" s="167">
        <v>0</v>
      </c>
      <c r="BN102" s="1075">
        <f t="shared" si="92"/>
        <v>541.92359453508186</v>
      </c>
    </row>
    <row r="103" spans="1:66">
      <c r="A103" s="927">
        <f>'Input data'!A133</f>
        <v>2033</v>
      </c>
      <c r="B103" s="824">
        <f>'Input data'!B133</f>
        <v>67.659000000000006</v>
      </c>
      <c r="C103" s="824">
        <f>'Recycling - Case 1'!AK113/B103</f>
        <v>306.00652870611776</v>
      </c>
      <c r="D103" s="826">
        <f>'Recycling - Case 1'!AM113</f>
        <v>0.23090027490882978</v>
      </c>
      <c r="E103" s="826">
        <f>'Recycling - Case 1'!BE113</f>
        <v>0.18089599282955882</v>
      </c>
      <c r="F103" s="826">
        <f>'Recycling - Case 1'!BF113</f>
        <v>0.22942505789729492</v>
      </c>
      <c r="G103" s="826">
        <f>'Recycling - Case 1'!BG113</f>
        <v>7.6363297409913641E-2</v>
      </c>
      <c r="H103" s="826">
        <f>'Recycling - Case 1'!BH113</f>
        <v>0</v>
      </c>
      <c r="I103" s="826">
        <f>'Recycling - Case 1'!BI113</f>
        <v>0</v>
      </c>
      <c r="J103" s="826">
        <f>'Recycling - Case 1'!BJ113</f>
        <v>0</v>
      </c>
      <c r="K103" s="826">
        <f>'Recycling - Case 1'!BK113</f>
        <v>0.51331565186323269</v>
      </c>
      <c r="L103" s="827">
        <f t="shared" si="100"/>
        <v>1</v>
      </c>
      <c r="M103" s="104"/>
      <c r="N103" s="838">
        <f t="shared" si="57"/>
        <v>4780.5813948091436</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0.10356472946785827</v>
      </c>
      <c r="Q103" s="832">
        <f t="shared" si="62"/>
        <v>219.14346879458142</v>
      </c>
      <c r="R103" s="832">
        <f t="shared" si="63"/>
        <v>219.14346879458142</v>
      </c>
      <c r="S103" s="835">
        <f t="shared" si="64"/>
        <v>0</v>
      </c>
      <c r="T103" s="832">
        <f t="shared" si="65"/>
        <v>9778.0798440135641</v>
      </c>
      <c r="U103" s="832">
        <f t="shared" si="66"/>
        <v>490.09714814613426</v>
      </c>
      <c r="V103" s="839">
        <f t="shared" si="67"/>
        <v>326.73143209742284</v>
      </c>
      <c r="W103" s="1449"/>
      <c r="X103" s="1025">
        <f>'Recycling - Case 1'!AM153</f>
        <v>102.85296034258315</v>
      </c>
      <c r="Y103" s="1026">
        <f>Parameters!S204</f>
        <v>0.71500000000000008</v>
      </c>
      <c r="Z103" s="1027">
        <f t="shared" si="68"/>
        <v>0.4</v>
      </c>
      <c r="AA103" s="1028">
        <f t="shared" si="69"/>
        <v>14.707973328989393</v>
      </c>
      <c r="AB103" s="1028">
        <f t="shared" si="70"/>
        <v>14.707973328989393</v>
      </c>
      <c r="AC103" s="1029">
        <f t="shared" si="71"/>
        <v>0</v>
      </c>
      <c r="AD103" s="1028">
        <f t="shared" si="72"/>
        <v>5550.855751838385</v>
      </c>
      <c r="AE103" s="1028">
        <f t="shared" si="73"/>
        <v>283.84436630386659</v>
      </c>
      <c r="AF103" s="1030">
        <f t="shared" si="74"/>
        <v>189.22957753591106</v>
      </c>
      <c r="AG103" s="104"/>
      <c r="AH103" s="1025">
        <f>'Recycling - Case 1'!AM193</f>
        <v>102.85296034258315</v>
      </c>
      <c r="AI103" s="1026">
        <f>Parameters!S204</f>
        <v>0.71500000000000008</v>
      </c>
      <c r="AJ103" s="1027">
        <f t="shared" si="75"/>
        <v>0.4</v>
      </c>
      <c r="AK103" s="1028">
        <f t="shared" si="76"/>
        <v>14.707973328989393</v>
      </c>
      <c r="AL103" s="1028">
        <f t="shared" si="77"/>
        <v>14.707973328989393</v>
      </c>
      <c r="AM103" s="1029">
        <f t="shared" si="78"/>
        <v>0</v>
      </c>
      <c r="AN103" s="1028">
        <f t="shared" si="79"/>
        <v>5550.855751838385</v>
      </c>
      <c r="AO103" s="1028">
        <f t="shared" si="80"/>
        <v>283.84436630386659</v>
      </c>
      <c r="AP103" s="1030">
        <f t="shared" si="81"/>
        <v>189.22957753591106</v>
      </c>
      <c r="AQ103" s="104"/>
      <c r="AR103" s="1064">
        <f>'Recycling - Case 1'!G113</f>
        <v>677.6803089176409</v>
      </c>
      <c r="AS103" s="1065">
        <v>1</v>
      </c>
      <c r="AT103" s="1066">
        <f t="shared" si="82"/>
        <v>0.05</v>
      </c>
      <c r="AU103" s="1044">
        <f t="shared" si="83"/>
        <v>16.942007722941025</v>
      </c>
      <c r="AV103" s="1044">
        <f t="shared" si="84"/>
        <v>16.942007722941025</v>
      </c>
      <c r="AW103" s="1045">
        <f t="shared" si="85"/>
        <v>0</v>
      </c>
      <c r="AX103" s="1044">
        <f t="shared" si="51"/>
        <v>216.21765905268484</v>
      </c>
      <c r="AY103" s="1044">
        <f t="shared" si="54"/>
        <v>12.322518088808556</v>
      </c>
      <c r="AZ103" s="1067">
        <f t="shared" si="52"/>
        <v>8.2150120592057032</v>
      </c>
      <c r="BB103" s="1055">
        <f t="shared" si="86"/>
        <v>326.73143209742284</v>
      </c>
      <c r="BC103" s="1056">
        <f t="shared" si="87"/>
        <v>189.22957753591106</v>
      </c>
      <c r="BD103" s="1082">
        <f t="shared" si="101"/>
        <v>8.2150120592057032</v>
      </c>
      <c r="BE103" s="1056">
        <f t="shared" si="60"/>
        <v>524.17602169253962</v>
      </c>
      <c r="BF103" s="167">
        <v>0</v>
      </c>
      <c r="BG103" s="1075">
        <f t="shared" si="88"/>
        <v>524.17602169253962</v>
      </c>
      <c r="BI103" s="1055">
        <f t="shared" si="89"/>
        <v>326.73143209742284</v>
      </c>
      <c r="BJ103" s="1056">
        <f t="shared" si="90"/>
        <v>189.22957753591106</v>
      </c>
      <c r="BK103" s="1082">
        <f t="shared" si="91"/>
        <v>8.2150120592057032</v>
      </c>
      <c r="BL103" s="1056">
        <f t="shared" si="61"/>
        <v>524.17602169253962</v>
      </c>
      <c r="BM103" s="167">
        <v>0</v>
      </c>
      <c r="BN103" s="1075">
        <f t="shared" si="92"/>
        <v>524.17602169253962</v>
      </c>
    </row>
    <row r="104" spans="1:66">
      <c r="A104" s="927">
        <f>'Input data'!A134</f>
        <v>2034</v>
      </c>
      <c r="B104" s="824">
        <f>'Input data'!B134</f>
        <v>68.236999999999995</v>
      </c>
      <c r="C104" s="824">
        <f>'Recycling - Case 1'!AK114/B104</f>
        <v>299.16981159028455</v>
      </c>
      <c r="D104" s="826">
        <f>'Recycling - Case 1'!AM114</f>
        <v>0.22125348186203642</v>
      </c>
      <c r="E104" s="826">
        <f>'Recycling - Case 1'!BE114</f>
        <v>0.18154251649724168</v>
      </c>
      <c r="F104" s="826">
        <f>'Recycling - Case 1'!BF114</f>
        <v>0.23024502481624079</v>
      </c>
      <c r="G104" s="826">
        <f>'Recycling - Case 1'!BG114</f>
        <v>7.6173387193594011E-2</v>
      </c>
      <c r="H104" s="826">
        <f>'Recycling - Case 1'!BH114</f>
        <v>0</v>
      </c>
      <c r="I104" s="826">
        <f>'Recycling - Case 1'!BI114</f>
        <v>0</v>
      </c>
      <c r="J104" s="826">
        <f>'Recycling - Case 1'!BJ114</f>
        <v>0</v>
      </c>
      <c r="K104" s="826">
        <f>'Recycling - Case 1'!BK114</f>
        <v>0.51203907149292327</v>
      </c>
      <c r="L104" s="827">
        <f t="shared" si="100"/>
        <v>0.99999999999999978</v>
      </c>
      <c r="M104" s="104"/>
      <c r="N104" s="838">
        <f t="shared" si="57"/>
        <v>4516.7682387087907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0.10374973731527201</v>
      </c>
      <c r="Q104" s="832">
        <f t="shared" si="62"/>
        <v>209.00162915288035</v>
      </c>
      <c r="R104" s="832">
        <f t="shared" si="63"/>
        <v>209.00162915288035</v>
      </c>
      <c r="S104" s="835">
        <f t="shared" si="64"/>
        <v>0</v>
      </c>
      <c r="T104" s="832">
        <f t="shared" si="65"/>
        <v>9510.1988918959341</v>
      </c>
      <c r="U104" s="832">
        <f t="shared" si="66"/>
        <v>476.88258127051006</v>
      </c>
      <c r="V104" s="839">
        <f t="shared" si="67"/>
        <v>317.92172084700672</v>
      </c>
      <c r="W104" s="1449"/>
      <c r="X104" s="1025">
        <f>'Recycling - Case 1'!AM154</f>
        <v>63.321250018801862</v>
      </c>
      <c r="Y104" s="1026">
        <f>Parameters!S205</f>
        <v>0.71500000000000008</v>
      </c>
      <c r="Z104" s="1027">
        <f t="shared" si="68"/>
        <v>0.4</v>
      </c>
      <c r="AA104" s="1028">
        <f t="shared" si="69"/>
        <v>9.0549387526886669</v>
      </c>
      <c r="AB104" s="1028">
        <f t="shared" si="70"/>
        <v>9.0549387526886669</v>
      </c>
      <c r="AC104" s="1029">
        <f t="shared" si="71"/>
        <v>0</v>
      </c>
      <c r="AD104" s="1028">
        <f t="shared" si="72"/>
        <v>5289.1922610603942</v>
      </c>
      <c r="AE104" s="1028">
        <f t="shared" si="73"/>
        <v>270.71842953067983</v>
      </c>
      <c r="AF104" s="1030">
        <f t="shared" si="74"/>
        <v>180.47895302045322</v>
      </c>
      <c r="AG104" s="104"/>
      <c r="AH104" s="1025">
        <f>'Recycling - Case 1'!AM194</f>
        <v>63.321250018801862</v>
      </c>
      <c r="AI104" s="1026">
        <f>Parameters!S205</f>
        <v>0.71500000000000008</v>
      </c>
      <c r="AJ104" s="1027">
        <f t="shared" si="75"/>
        <v>0.4</v>
      </c>
      <c r="AK104" s="1028">
        <f t="shared" si="76"/>
        <v>9.0549387526886669</v>
      </c>
      <c r="AL104" s="1028">
        <f t="shared" si="77"/>
        <v>9.0549387526886669</v>
      </c>
      <c r="AM104" s="1029">
        <f t="shared" si="78"/>
        <v>0</v>
      </c>
      <c r="AN104" s="1028">
        <f t="shared" si="79"/>
        <v>5289.1922610603942</v>
      </c>
      <c r="AO104" s="1028">
        <f t="shared" si="80"/>
        <v>270.71842953067983</v>
      </c>
      <c r="AP104" s="1030">
        <f t="shared" si="81"/>
        <v>180.47895302045322</v>
      </c>
      <c r="AQ104" s="104"/>
      <c r="AR104" s="1064">
        <f>'Recycling - Case 1'!G114</f>
        <v>688.38400730327044</v>
      </c>
      <c r="AS104" s="1065">
        <v>1</v>
      </c>
      <c r="AT104" s="1066">
        <f t="shared" si="82"/>
        <v>0.05</v>
      </c>
      <c r="AU104" s="1044">
        <f t="shared" si="83"/>
        <v>17.209600182581763</v>
      </c>
      <c r="AV104" s="1044">
        <f t="shared" si="84"/>
        <v>17.209600182581763</v>
      </c>
      <c r="AW104" s="1045">
        <f t="shared" si="85"/>
        <v>0</v>
      </c>
      <c r="AX104" s="1044">
        <f t="shared" si="51"/>
        <v>220.8357230130116</v>
      </c>
      <c r="AY104" s="1044">
        <f t="shared" si="54"/>
        <v>12.591536222254989</v>
      </c>
      <c r="AZ104" s="1067">
        <f t="shared" si="52"/>
        <v>8.3943574815033255</v>
      </c>
      <c r="BB104" s="1055">
        <f t="shared" si="86"/>
        <v>317.92172084700672</v>
      </c>
      <c r="BC104" s="1056">
        <f t="shared" si="87"/>
        <v>180.47895302045322</v>
      </c>
      <c r="BD104" s="1082">
        <f t="shared" si="101"/>
        <v>8.3943574815033255</v>
      </c>
      <c r="BE104" s="1056">
        <f t="shared" si="60"/>
        <v>506.79503134896328</v>
      </c>
      <c r="BF104" s="167">
        <v>0</v>
      </c>
      <c r="BG104" s="1075">
        <f t="shared" si="88"/>
        <v>506.79503134896328</v>
      </c>
      <c r="BI104" s="1055">
        <f t="shared" si="89"/>
        <v>317.92172084700672</v>
      </c>
      <c r="BJ104" s="1056">
        <f t="shared" si="90"/>
        <v>180.47895302045322</v>
      </c>
      <c r="BK104" s="1082">
        <f t="shared" si="91"/>
        <v>8.3943574815033255</v>
      </c>
      <c r="BL104" s="1056">
        <f t="shared" si="61"/>
        <v>506.79503134896328</v>
      </c>
      <c r="BM104" s="167">
        <v>0</v>
      </c>
      <c r="BN104" s="1075">
        <f t="shared" si="92"/>
        <v>506.79503134896328</v>
      </c>
    </row>
    <row r="105" spans="1:66">
      <c r="A105" s="927">
        <f>'Input data'!A135</f>
        <v>2035</v>
      </c>
      <c r="B105" s="824">
        <f>'Input data'!B135</f>
        <v>68.819000000000003</v>
      </c>
      <c r="C105" s="824">
        <f>'Recycling - Case 1'!AK115/B105</f>
        <v>292.44493102700039</v>
      </c>
      <c r="D105" s="826">
        <f>'Recycling - Case 1'!AM115</f>
        <v>0.21131889944474166</v>
      </c>
      <c r="E105" s="826">
        <f>'Recycling - Case 1'!BE115</f>
        <v>0.18217938166468547</v>
      </c>
      <c r="F105" s="826">
        <f>'Recycling - Case 1'!BF115</f>
        <v>0.23105274214390553</v>
      </c>
      <c r="G105" s="826">
        <f>'Recycling - Case 1'!BG115</f>
        <v>7.5986314070425762E-2</v>
      </c>
      <c r="H105" s="826">
        <f>'Recycling - Case 1'!BH115</f>
        <v>0</v>
      </c>
      <c r="I105" s="826">
        <f>'Recycling - Case 1'!BI115</f>
        <v>0</v>
      </c>
      <c r="J105" s="826">
        <f>'Recycling - Case 1'!BJ115</f>
        <v>0</v>
      </c>
      <c r="K105" s="826">
        <f>'Recycling - Case 1'!BK115</f>
        <v>0.51078156212098325</v>
      </c>
      <c r="L105" s="827">
        <f t="shared" si="100"/>
        <v>1</v>
      </c>
      <c r="M105" s="104"/>
      <c r="N105" s="838">
        <f t="shared" si="57"/>
        <v>4252.9550826084387</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0.10393198130665424</v>
      </c>
      <c r="Q105" s="832">
        <f t="shared" si="62"/>
        <v>198.63186038457536</v>
      </c>
      <c r="R105" s="832">
        <f t="shared" si="63"/>
        <v>198.63186038457536</v>
      </c>
      <c r="S105" s="835">
        <f t="shared" si="64"/>
        <v>0</v>
      </c>
      <c r="T105" s="832">
        <f t="shared" si="65"/>
        <v>9245.0128792100732</v>
      </c>
      <c r="U105" s="832">
        <f t="shared" si="66"/>
        <v>463.81787307043658</v>
      </c>
      <c r="V105" s="839">
        <f t="shared" si="67"/>
        <v>309.21191538029103</v>
      </c>
      <c r="W105" s="1449"/>
      <c r="X105" s="1025">
        <f>'Recycling - Case 1'!AM155</f>
        <v>24.083213733745904</v>
      </c>
      <c r="Y105" s="1026">
        <f>Parameters!S206</f>
        <v>0.71500000000000008</v>
      </c>
      <c r="Z105" s="1027">
        <f t="shared" si="68"/>
        <v>0.4</v>
      </c>
      <c r="AA105" s="1028">
        <f t="shared" si="69"/>
        <v>3.4438995639256653</v>
      </c>
      <c r="AB105" s="1028">
        <f t="shared" si="70"/>
        <v>3.4438995639256653</v>
      </c>
      <c r="AC105" s="1029">
        <f t="shared" si="71"/>
        <v>0</v>
      </c>
      <c r="AD105" s="1028">
        <f t="shared" si="72"/>
        <v>5034.6792101260344</v>
      </c>
      <c r="AE105" s="1028">
        <f t="shared" si="73"/>
        <v>257.9569504982851</v>
      </c>
      <c r="AF105" s="1030">
        <f t="shared" si="74"/>
        <v>171.97130033219005</v>
      </c>
      <c r="AG105" s="104"/>
      <c r="AH105" s="1025">
        <f>'Recycling - Case 1'!AM195</f>
        <v>24.083213733745904</v>
      </c>
      <c r="AI105" s="1026">
        <f>Parameters!S206</f>
        <v>0.71500000000000008</v>
      </c>
      <c r="AJ105" s="1027">
        <f t="shared" si="75"/>
        <v>0.4</v>
      </c>
      <c r="AK105" s="1028">
        <f t="shared" si="76"/>
        <v>3.4438995639256653</v>
      </c>
      <c r="AL105" s="1028">
        <f t="shared" si="77"/>
        <v>3.4438995639256653</v>
      </c>
      <c r="AM105" s="1029">
        <f t="shared" si="78"/>
        <v>0</v>
      </c>
      <c r="AN105" s="1028">
        <f t="shared" si="79"/>
        <v>5034.6792101260344</v>
      </c>
      <c r="AO105" s="1028">
        <f t="shared" si="80"/>
        <v>257.9569504982851</v>
      </c>
      <c r="AP105" s="1030">
        <f t="shared" si="81"/>
        <v>171.97130033219005</v>
      </c>
      <c r="AQ105" s="104"/>
      <c r="AR105" s="1064">
        <f>'Recycling - Case 1'!G115</f>
        <v>699.21160066565164</v>
      </c>
      <c r="AS105" s="1065">
        <v>1</v>
      </c>
      <c r="AT105" s="1066">
        <f t="shared" si="82"/>
        <v>0.05</v>
      </c>
      <c r="AU105" s="1044">
        <f t="shared" si="83"/>
        <v>17.480290016641291</v>
      </c>
      <c r="AV105" s="1044">
        <f t="shared" si="84"/>
        <v>17.480290016641291</v>
      </c>
      <c r="AW105" s="1045">
        <f t="shared" si="85"/>
        <v>0</v>
      </c>
      <c r="AX105" s="1044">
        <f t="shared" si="51"/>
        <v>225.45554169873049</v>
      </c>
      <c r="AY105" s="1044">
        <f t="shared" si="54"/>
        <v>12.860471330922389</v>
      </c>
      <c r="AZ105" s="1067">
        <f t="shared" si="52"/>
        <v>8.5736475539482591</v>
      </c>
      <c r="BB105" s="1055">
        <f t="shared" si="86"/>
        <v>309.21191538029103</v>
      </c>
      <c r="BC105" s="1056">
        <f t="shared" si="87"/>
        <v>171.97130033219005</v>
      </c>
      <c r="BD105" s="1082">
        <f t="shared" si="101"/>
        <v>8.5736475539482591</v>
      </c>
      <c r="BE105" s="1056">
        <f t="shared" si="60"/>
        <v>489.75686326642938</v>
      </c>
      <c r="BF105" s="167">
        <v>0</v>
      </c>
      <c r="BG105" s="1075">
        <f t="shared" si="88"/>
        <v>489.75686326642938</v>
      </c>
      <c r="BI105" s="1055">
        <f t="shared" si="89"/>
        <v>309.21191538029103</v>
      </c>
      <c r="BJ105" s="1056">
        <f t="shared" si="90"/>
        <v>171.97130033219005</v>
      </c>
      <c r="BK105" s="1082">
        <f t="shared" si="91"/>
        <v>8.5736475539482591</v>
      </c>
      <c r="BL105" s="1056">
        <f t="shared" si="61"/>
        <v>489.75686326642938</v>
      </c>
      <c r="BM105" s="167">
        <v>0</v>
      </c>
      <c r="BN105" s="1075">
        <f t="shared" si="92"/>
        <v>489.75686326642938</v>
      </c>
    </row>
    <row r="106" spans="1:66">
      <c r="A106" s="927">
        <f>'Input data'!A136</f>
        <v>2036</v>
      </c>
      <c r="B106" s="824">
        <f>'Input data'!B136</f>
        <v>69.322999999999993</v>
      </c>
      <c r="C106" s="824">
        <f>'Recycling - Case 1'!AK116/B106</f>
        <v>286.03712871072082</v>
      </c>
      <c r="D106" s="826">
        <f>'Recycling - Case 1'!AM116</f>
        <v>0.20117764932479862</v>
      </c>
      <c r="E106" s="826">
        <f>'Recycling - Case 1'!BE116</f>
        <v>0.18271978935489167</v>
      </c>
      <c r="F106" s="826">
        <f>'Recycling - Case 1'!BF116</f>
        <v>0.23173812529515372</v>
      </c>
      <c r="G106" s="826">
        <f>'Recycling - Case 1'!BG116</f>
        <v>7.5827574419461932E-2</v>
      </c>
      <c r="H106" s="826">
        <f>'Recycling - Case 1'!BH116</f>
        <v>0</v>
      </c>
      <c r="I106" s="826">
        <f>'Recycling - Case 1'!BI116</f>
        <v>0</v>
      </c>
      <c r="J106" s="826">
        <f>'Recycling - Case 1'!BJ116</f>
        <v>0</v>
      </c>
      <c r="K106" s="826">
        <f>'Recycling - Case 1'!BK116</f>
        <v>0.50971451093049269</v>
      </c>
      <c r="L106" s="827">
        <f t="shared" si="100"/>
        <v>1</v>
      </c>
      <c r="M106" s="104"/>
      <c r="N106" s="838">
        <f t="shared" si="57"/>
        <v>3989.141926508084</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0.10408662323004927</v>
      </c>
      <c r="Q106" s="832">
        <f t="shared" si="62"/>
        <v>187.98918558200594</v>
      </c>
      <c r="R106" s="832">
        <f t="shared" si="63"/>
        <v>187.98918558200594</v>
      </c>
      <c r="S106" s="835">
        <f t="shared" si="64"/>
        <v>0</v>
      </c>
      <c r="T106" s="832">
        <f t="shared" si="65"/>
        <v>8982.1174661746936</v>
      </c>
      <c r="U106" s="832">
        <f t="shared" si="66"/>
        <v>450.88459861738619</v>
      </c>
      <c r="V106" s="839">
        <f t="shared" si="67"/>
        <v>300.58973241159077</v>
      </c>
      <c r="W106" s="1449"/>
      <c r="X106" s="1025">
        <f>'Recycling - Case 1'!AM156</f>
        <v>82.439282724269177</v>
      </c>
      <c r="Y106" s="1026">
        <f>Parameters!S207</f>
        <v>0.71500000000000008</v>
      </c>
      <c r="Z106" s="1027">
        <f t="shared" si="68"/>
        <v>0.4</v>
      </c>
      <c r="AA106" s="1028">
        <f t="shared" si="69"/>
        <v>11.788817429570495</v>
      </c>
      <c r="AB106" s="1028">
        <f t="shared" si="70"/>
        <v>11.788817429570495</v>
      </c>
      <c r="AC106" s="1029">
        <f t="shared" si="71"/>
        <v>0</v>
      </c>
      <c r="AD106" s="1028">
        <f t="shared" si="72"/>
        <v>4800.9238250234675</v>
      </c>
      <c r="AE106" s="1028">
        <f t="shared" si="73"/>
        <v>245.54420253213729</v>
      </c>
      <c r="AF106" s="1030">
        <f t="shared" si="74"/>
        <v>163.69613502142485</v>
      </c>
      <c r="AG106" s="104"/>
      <c r="AH106" s="1025">
        <f>'Recycling - Case 1'!AM196</f>
        <v>82.439282724269177</v>
      </c>
      <c r="AI106" s="1026">
        <f>Parameters!S207</f>
        <v>0.71500000000000008</v>
      </c>
      <c r="AJ106" s="1027">
        <f t="shared" si="75"/>
        <v>0.4</v>
      </c>
      <c r="AK106" s="1028">
        <f t="shared" si="76"/>
        <v>11.788817429570495</v>
      </c>
      <c r="AL106" s="1028">
        <f t="shared" si="77"/>
        <v>11.788817429570495</v>
      </c>
      <c r="AM106" s="1029">
        <f t="shared" si="78"/>
        <v>0</v>
      </c>
      <c r="AN106" s="1028">
        <f t="shared" si="79"/>
        <v>4800.9238250234675</v>
      </c>
      <c r="AO106" s="1028">
        <f t="shared" si="80"/>
        <v>245.54420253213729</v>
      </c>
      <c r="AP106" s="1030">
        <f t="shared" si="81"/>
        <v>163.69613502142485</v>
      </c>
      <c r="AQ106" s="104"/>
      <c r="AR106" s="1064">
        <f>'Recycling - Case 1'!G116</f>
        <v>709.32491506726262</v>
      </c>
      <c r="AS106" s="1065">
        <v>1</v>
      </c>
      <c r="AT106" s="1066">
        <f t="shared" si="82"/>
        <v>0.05</v>
      </c>
      <c r="AU106" s="1044">
        <f t="shared" si="83"/>
        <v>17.733122876681566</v>
      </c>
      <c r="AV106" s="1044">
        <f t="shared" si="84"/>
        <v>17.733122876681566</v>
      </c>
      <c r="AW106" s="1045">
        <f t="shared" si="85"/>
        <v>0</v>
      </c>
      <c r="AX106" s="1044">
        <f t="shared" si="51"/>
        <v>230.05915594857061</v>
      </c>
      <c r="AY106" s="1044">
        <f t="shared" si="54"/>
        <v>13.129508626841432</v>
      </c>
      <c r="AZ106" s="1067">
        <f t="shared" si="52"/>
        <v>8.7530057512276205</v>
      </c>
      <c r="BB106" s="1055">
        <f t="shared" si="86"/>
        <v>300.58973241159077</v>
      </c>
      <c r="BC106" s="1056">
        <f t="shared" si="87"/>
        <v>163.69613502142485</v>
      </c>
      <c r="BD106" s="1082">
        <f t="shared" si="101"/>
        <v>8.7530057512276205</v>
      </c>
      <c r="BE106" s="1056">
        <f t="shared" si="60"/>
        <v>473.03887318424324</v>
      </c>
      <c r="BF106" s="167">
        <v>0</v>
      </c>
      <c r="BG106" s="1075">
        <f t="shared" si="88"/>
        <v>473.03887318424324</v>
      </c>
      <c r="BI106" s="1055">
        <f t="shared" si="89"/>
        <v>300.58973241159077</v>
      </c>
      <c r="BJ106" s="1056">
        <f t="shared" si="90"/>
        <v>163.69613502142485</v>
      </c>
      <c r="BK106" s="1082">
        <f t="shared" si="91"/>
        <v>8.7530057512276205</v>
      </c>
      <c r="BL106" s="1056">
        <f t="shared" si="61"/>
        <v>473.03887318424324</v>
      </c>
      <c r="BM106" s="167">
        <v>0</v>
      </c>
      <c r="BN106" s="1075">
        <f t="shared" si="92"/>
        <v>473.03887318424324</v>
      </c>
    </row>
    <row r="107" spans="1:66">
      <c r="A107" s="927">
        <f>'Input data'!A137</f>
        <v>2037</v>
      </c>
      <c r="B107" s="824">
        <f>'Input data'!B137</f>
        <v>69.83</v>
      </c>
      <c r="C107" s="824">
        <f>'Recycling - Case 1'!AK117/B107</f>
        <v>283.06847848157003</v>
      </c>
      <c r="D107" s="826">
        <f>'Recycling - Case 1'!AM117</f>
        <v>0.1973227781241218</v>
      </c>
      <c r="E107" s="826">
        <f>'Recycling - Case 1'!BE117</f>
        <v>0.18325331895942015</v>
      </c>
      <c r="F107" s="826">
        <f>'Recycling - Case 1'!BF117</f>
        <v>0.23241478517298866</v>
      </c>
      <c r="G107" s="826">
        <f>'Recycling - Case 1'!BG117</f>
        <v>7.5670855141152973E-2</v>
      </c>
      <c r="H107" s="826">
        <f>'Recycling - Case 1'!BH117</f>
        <v>0</v>
      </c>
      <c r="I107" s="826">
        <f>'Recycling - Case 1'!BI117</f>
        <v>0</v>
      </c>
      <c r="J107" s="826">
        <f>'Recycling - Case 1'!BJ117</f>
        <v>0</v>
      </c>
      <c r="K107" s="826">
        <f>'Recycling - Case 1'!BK117</f>
        <v>0.50866104072643814</v>
      </c>
      <c r="L107" s="827">
        <f t="shared" si="100"/>
        <v>1</v>
      </c>
      <c r="M107" s="104"/>
      <c r="N107" s="838">
        <f t="shared" si="57"/>
        <v>3900.4146041771414</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0.10423929693497194</v>
      </c>
      <c r="Q107" s="832">
        <f t="shared" si="62"/>
        <v>185.44969515852267</v>
      </c>
      <c r="R107" s="832">
        <f t="shared" si="63"/>
        <v>185.44969515852267</v>
      </c>
      <c r="S107" s="835">
        <f t="shared" si="64"/>
        <v>0</v>
      </c>
      <c r="T107" s="832">
        <f t="shared" si="65"/>
        <v>8729.5041233056872</v>
      </c>
      <c r="U107" s="832">
        <f t="shared" si="66"/>
        <v>438.06303802752819</v>
      </c>
      <c r="V107" s="839">
        <f t="shared" si="67"/>
        <v>292.04202535168548</v>
      </c>
      <c r="W107" s="1449"/>
      <c r="X107" s="1025">
        <f>'Recycling - Case 1'!AM157</f>
        <v>144.25730618644332</v>
      </c>
      <c r="Y107" s="1026">
        <f>Parameters!S208</f>
        <v>0.71500000000000008</v>
      </c>
      <c r="Z107" s="1027">
        <f t="shared" si="68"/>
        <v>0.4</v>
      </c>
      <c r="AA107" s="1028">
        <f t="shared" si="69"/>
        <v>20.628794784661398</v>
      </c>
      <c r="AB107" s="1028">
        <f t="shared" si="70"/>
        <v>20.628794784661398</v>
      </c>
      <c r="AC107" s="1029">
        <f t="shared" si="71"/>
        <v>0</v>
      </c>
      <c r="AD107" s="1028">
        <f t="shared" si="72"/>
        <v>4587.4088019335013</v>
      </c>
      <c r="AE107" s="1028">
        <f t="shared" si="73"/>
        <v>234.14381787462787</v>
      </c>
      <c r="AF107" s="1030">
        <f t="shared" si="74"/>
        <v>156.09587858308524</v>
      </c>
      <c r="AG107" s="104"/>
      <c r="AH107" s="1025">
        <f>'Recycling - Case 1'!AM197</f>
        <v>144.25730618644332</v>
      </c>
      <c r="AI107" s="1026">
        <f>Parameters!S208</f>
        <v>0.71500000000000008</v>
      </c>
      <c r="AJ107" s="1027">
        <f t="shared" si="75"/>
        <v>0.4</v>
      </c>
      <c r="AK107" s="1028">
        <f t="shared" si="76"/>
        <v>20.628794784661398</v>
      </c>
      <c r="AL107" s="1028">
        <f t="shared" si="77"/>
        <v>20.628794784661398</v>
      </c>
      <c r="AM107" s="1029">
        <f t="shared" si="78"/>
        <v>0</v>
      </c>
      <c r="AN107" s="1028">
        <f t="shared" si="79"/>
        <v>4587.4088019335013</v>
      </c>
      <c r="AO107" s="1028">
        <f t="shared" si="80"/>
        <v>234.14381787462787</v>
      </c>
      <c r="AP107" s="1030">
        <f t="shared" si="81"/>
        <v>156.09587858308524</v>
      </c>
      <c r="AQ107" s="104"/>
      <c r="AR107" s="1064">
        <f>'Recycling - Case 1'!G117</f>
        <v>719.54173754516603</v>
      </c>
      <c r="AS107" s="1065">
        <v>1</v>
      </c>
      <c r="AT107" s="1066">
        <f t="shared" si="82"/>
        <v>0.05</v>
      </c>
      <c r="AU107" s="1044">
        <f t="shared" si="83"/>
        <v>17.988543438629151</v>
      </c>
      <c r="AV107" s="1044">
        <f t="shared" si="84"/>
        <v>17.988543438629151</v>
      </c>
      <c r="AW107" s="1045">
        <f t="shared" si="85"/>
        <v>0</v>
      </c>
      <c r="AX107" s="1044">
        <f t="shared" si="51"/>
        <v>234.6500971373207</v>
      </c>
      <c r="AY107" s="1044">
        <f t="shared" si="54"/>
        <v>13.397602249879069</v>
      </c>
      <c r="AZ107" s="1067">
        <f t="shared" si="52"/>
        <v>8.9317348332527136</v>
      </c>
      <c r="BB107" s="1055">
        <f t="shared" si="86"/>
        <v>292.04202535168548</v>
      </c>
      <c r="BC107" s="1056">
        <f t="shared" si="87"/>
        <v>156.09587858308524</v>
      </c>
      <c r="BD107" s="1082">
        <f t="shared" si="101"/>
        <v>8.9317348332527136</v>
      </c>
      <c r="BE107" s="1056">
        <f t="shared" si="60"/>
        <v>457.06963876802348</v>
      </c>
      <c r="BF107" s="167">
        <v>0</v>
      </c>
      <c r="BG107" s="1075">
        <f t="shared" si="88"/>
        <v>457.06963876802348</v>
      </c>
      <c r="BI107" s="1055">
        <f t="shared" si="89"/>
        <v>292.04202535168548</v>
      </c>
      <c r="BJ107" s="1056">
        <f t="shared" si="90"/>
        <v>156.09587858308524</v>
      </c>
      <c r="BK107" s="1082">
        <f t="shared" si="91"/>
        <v>8.9317348332527136</v>
      </c>
      <c r="BL107" s="1056">
        <f t="shared" si="61"/>
        <v>457.06963876802348</v>
      </c>
      <c r="BM107" s="167">
        <v>0</v>
      </c>
      <c r="BN107" s="1075">
        <f t="shared" si="92"/>
        <v>457.06963876802348</v>
      </c>
    </row>
    <row r="108" spans="1:66">
      <c r="A108" s="927">
        <f>'Input data'!A138</f>
        <v>2038</v>
      </c>
      <c r="B108" s="824">
        <f>'Input data'!B138</f>
        <v>70.341999999999999</v>
      </c>
      <c r="C108" s="824">
        <f>'Recycling - Case 1'!AK118/B108</f>
        <v>278.64499535717869</v>
      </c>
      <c r="D108" s="826">
        <f>'Recycling - Case 1'!AM118</f>
        <v>0.19046780507503874</v>
      </c>
      <c r="E108" s="826">
        <f>'Recycling - Case 1'!BE118</f>
        <v>0.18378211992817106</v>
      </c>
      <c r="F108" s="826">
        <f>'Recycling - Case 1'!BF118</f>
        <v>0.23308544786138846</v>
      </c>
      <c r="G108" s="826">
        <f>'Recycling - Case 1'!BG118</f>
        <v>7.5515524854907756E-2</v>
      </c>
      <c r="H108" s="826">
        <f>'Recycling - Case 1'!BH118</f>
        <v>0</v>
      </c>
      <c r="I108" s="826">
        <f>'Recycling - Case 1'!BI118</f>
        <v>0</v>
      </c>
      <c r="J108" s="826">
        <f>'Recycling - Case 1'!BJ118</f>
        <v>0</v>
      </c>
      <c r="K108" s="826">
        <f>'Recycling - Case 1'!BK118</f>
        <v>0.50761690735553278</v>
      </c>
      <c r="L108" s="827">
        <f t="shared" si="100"/>
        <v>1</v>
      </c>
      <c r="M108" s="104"/>
      <c r="N108" s="838">
        <f t="shared" si="57"/>
        <v>3733.2539782838353</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0.10439061750346645</v>
      </c>
      <c r="Q108" s="832">
        <f t="shared" si="62"/>
        <v>179.07481817750309</v>
      </c>
      <c r="R108" s="832">
        <f t="shared" si="63"/>
        <v>179.07481817750309</v>
      </c>
      <c r="S108" s="835">
        <f t="shared" si="64"/>
        <v>0</v>
      </c>
      <c r="T108" s="832">
        <f t="shared" si="65"/>
        <v>8482.8360015661819</v>
      </c>
      <c r="U108" s="832">
        <f t="shared" si="66"/>
        <v>425.7429399170083</v>
      </c>
      <c r="V108" s="839">
        <f t="shared" si="67"/>
        <v>283.82862661133885</v>
      </c>
      <c r="W108" s="1449"/>
      <c r="X108" s="1025">
        <f>'Recycling - Case 1'!AM158</f>
        <v>209.41981286402483</v>
      </c>
      <c r="Y108" s="1026">
        <f>Parameters!S209</f>
        <v>0.71500000000000008</v>
      </c>
      <c r="Z108" s="1027">
        <f t="shared" si="68"/>
        <v>0.4</v>
      </c>
      <c r="AA108" s="1028">
        <f t="shared" si="69"/>
        <v>29.947033239555555</v>
      </c>
      <c r="AB108" s="1028">
        <f t="shared" si="70"/>
        <v>29.947033239555555</v>
      </c>
      <c r="AC108" s="1029">
        <f t="shared" si="71"/>
        <v>0</v>
      </c>
      <c r="AD108" s="1028">
        <f t="shared" si="72"/>
        <v>4393.6252678522706</v>
      </c>
      <c r="AE108" s="1028">
        <f t="shared" si="73"/>
        <v>223.73056732078689</v>
      </c>
      <c r="AF108" s="1030">
        <f t="shared" si="74"/>
        <v>149.15371154719125</v>
      </c>
      <c r="AG108" s="104"/>
      <c r="AH108" s="1025">
        <f>'Recycling - Case 1'!AM198</f>
        <v>209.41981286402483</v>
      </c>
      <c r="AI108" s="1026">
        <f>Parameters!S209</f>
        <v>0.71500000000000008</v>
      </c>
      <c r="AJ108" s="1027">
        <f t="shared" si="75"/>
        <v>0.4</v>
      </c>
      <c r="AK108" s="1028">
        <f t="shared" si="76"/>
        <v>29.947033239555555</v>
      </c>
      <c r="AL108" s="1028">
        <f t="shared" si="77"/>
        <v>29.947033239555555</v>
      </c>
      <c r="AM108" s="1029">
        <f t="shared" si="78"/>
        <v>0</v>
      </c>
      <c r="AN108" s="1028">
        <f t="shared" si="79"/>
        <v>4393.6252678522706</v>
      </c>
      <c r="AO108" s="1028">
        <f t="shared" si="80"/>
        <v>223.73056732078689</v>
      </c>
      <c r="AP108" s="1030">
        <f t="shared" si="81"/>
        <v>149.15371154719125</v>
      </c>
      <c r="AQ108" s="104"/>
      <c r="AR108" s="1064">
        <f>'Recycling - Case 1'!G118</f>
        <v>729.88346869644954</v>
      </c>
      <c r="AS108" s="1065">
        <v>1</v>
      </c>
      <c r="AT108" s="1066">
        <f t="shared" si="82"/>
        <v>0.05</v>
      </c>
      <c r="AU108" s="1044">
        <f t="shared" si="83"/>
        <v>18.247086717411239</v>
      </c>
      <c r="AV108" s="1044">
        <f t="shared" si="84"/>
        <v>18.247086717411239</v>
      </c>
      <c r="AW108" s="1045">
        <f t="shared" si="85"/>
        <v>0</v>
      </c>
      <c r="AX108" s="1044">
        <f t="shared" si="51"/>
        <v>239.23222600343871</v>
      </c>
      <c r="AY108" s="1044">
        <f t="shared" si="54"/>
        <v>13.664957851293215</v>
      </c>
      <c r="AZ108" s="1067">
        <f t="shared" si="52"/>
        <v>9.1099719008621438</v>
      </c>
      <c r="BB108" s="1055">
        <f t="shared" si="86"/>
        <v>283.82862661133885</v>
      </c>
      <c r="BC108" s="1056">
        <f t="shared" si="87"/>
        <v>149.15371154719125</v>
      </c>
      <c r="BD108" s="1082">
        <f t="shared" si="101"/>
        <v>9.1099719008621438</v>
      </c>
      <c r="BE108" s="1056">
        <f t="shared" si="60"/>
        <v>442.09231005939222</v>
      </c>
      <c r="BF108" s="167">
        <v>0</v>
      </c>
      <c r="BG108" s="1075">
        <f t="shared" si="88"/>
        <v>442.09231005939222</v>
      </c>
      <c r="BI108" s="1055">
        <f t="shared" si="89"/>
        <v>283.82862661133885</v>
      </c>
      <c r="BJ108" s="1056">
        <f t="shared" si="90"/>
        <v>149.15371154719125</v>
      </c>
      <c r="BK108" s="1082">
        <f t="shared" si="91"/>
        <v>9.1099719008621438</v>
      </c>
      <c r="BL108" s="1056">
        <f t="shared" si="61"/>
        <v>442.09231005939222</v>
      </c>
      <c r="BM108" s="167">
        <v>0</v>
      </c>
      <c r="BN108" s="1075">
        <f t="shared" si="92"/>
        <v>442.09231005939222</v>
      </c>
    </row>
    <row r="109" spans="1:66">
      <c r="A109" s="927">
        <f>'Input data'!A139</f>
        <v>2039</v>
      </c>
      <c r="B109" s="824">
        <f>'Input data'!B139</f>
        <v>70.856999999999999</v>
      </c>
      <c r="C109" s="824">
        <f>'Recycling - Case 1'!AK119/B109</f>
        <v>274.28244143639859</v>
      </c>
      <c r="D109" s="826">
        <f>'Recycling - Case 1'!AM119</f>
        <v>0.18348980554759861</v>
      </c>
      <c r="E109" s="826">
        <f>'Recycling - Case 1'!BE119</f>
        <v>0.18430417171360414</v>
      </c>
      <c r="F109" s="826">
        <f>'Recycling - Case 1'!BF119</f>
        <v>0.23374755075944001</v>
      </c>
      <c r="G109" s="826">
        <f>'Recycling - Case 1'!BG119</f>
        <v>7.5362177077467618E-2</v>
      </c>
      <c r="H109" s="826">
        <f>'Recycling - Case 1'!BH119</f>
        <v>0</v>
      </c>
      <c r="I109" s="826">
        <f>'Recycling - Case 1'!BI119</f>
        <v>0</v>
      </c>
      <c r="J109" s="826">
        <f>'Recycling - Case 1'!BJ119</f>
        <v>0</v>
      </c>
      <c r="K109" s="826">
        <f>'Recycling - Case 1'!BK119</f>
        <v>0.50658610044948826</v>
      </c>
      <c r="L109" s="827">
        <f t="shared" si="100"/>
        <v>1</v>
      </c>
      <c r="M109" s="104"/>
      <c r="N109" s="838">
        <f t="shared" si="57"/>
        <v>3566.0933523905292</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0.10454000673991568</v>
      </c>
      <c r="Q109" s="832">
        <f t="shared" si="62"/>
        <v>172.55953296466973</v>
      </c>
      <c r="R109" s="832">
        <f t="shared" si="63"/>
        <v>172.55953296466973</v>
      </c>
      <c r="S109" s="835">
        <f t="shared" si="64"/>
        <v>0</v>
      </c>
      <c r="T109" s="832">
        <f t="shared" si="65"/>
        <v>8241.6827408684076</v>
      </c>
      <c r="U109" s="832">
        <f t="shared" si="66"/>
        <v>413.71279366244471</v>
      </c>
      <c r="V109" s="839">
        <f t="shared" si="67"/>
        <v>275.80852910829645</v>
      </c>
      <c r="W109" s="1449"/>
      <c r="X109" s="1025">
        <f>'Recycling - Case 1'!AM159</f>
        <v>277.91776401223109</v>
      </c>
      <c r="Y109" s="1026">
        <f>Parameters!S210</f>
        <v>0.71500000000000008</v>
      </c>
      <c r="Z109" s="1027">
        <f t="shared" si="68"/>
        <v>0.4</v>
      </c>
      <c r="AA109" s="1028">
        <f t="shared" si="69"/>
        <v>39.742240253749053</v>
      </c>
      <c r="AB109" s="1028">
        <f t="shared" si="70"/>
        <v>39.742240253749053</v>
      </c>
      <c r="AC109" s="1029">
        <f t="shared" si="71"/>
        <v>0</v>
      </c>
      <c r="AD109" s="1028">
        <f t="shared" si="72"/>
        <v>4219.0878752646595</v>
      </c>
      <c r="AE109" s="1028">
        <f t="shared" si="73"/>
        <v>214.27963284135976</v>
      </c>
      <c r="AF109" s="1030">
        <f t="shared" si="74"/>
        <v>142.85308856090651</v>
      </c>
      <c r="AG109" s="104"/>
      <c r="AH109" s="1025">
        <f>'Recycling - Case 1'!AM199</f>
        <v>277.91776401223109</v>
      </c>
      <c r="AI109" s="1026">
        <f>Parameters!S210</f>
        <v>0.71500000000000008</v>
      </c>
      <c r="AJ109" s="1027">
        <f t="shared" si="75"/>
        <v>0.4</v>
      </c>
      <c r="AK109" s="1028">
        <f t="shared" si="76"/>
        <v>39.742240253749053</v>
      </c>
      <c r="AL109" s="1028">
        <f t="shared" si="77"/>
        <v>39.742240253749053</v>
      </c>
      <c r="AM109" s="1029">
        <f t="shared" si="78"/>
        <v>0</v>
      </c>
      <c r="AN109" s="1028">
        <f t="shared" si="79"/>
        <v>4219.0878752646595</v>
      </c>
      <c r="AO109" s="1028">
        <f t="shared" si="80"/>
        <v>214.27963284135976</v>
      </c>
      <c r="AP109" s="1030">
        <f t="shared" si="81"/>
        <v>142.85308856090651</v>
      </c>
      <c r="AQ109" s="104"/>
      <c r="AR109" s="1064">
        <f>'Recycling - Case 1'!G119</f>
        <v>740.33029234961748</v>
      </c>
      <c r="AS109" s="1065">
        <v>1</v>
      </c>
      <c r="AT109" s="1066">
        <f t="shared" si="82"/>
        <v>0.05</v>
      </c>
      <c r="AU109" s="1044">
        <f t="shared" si="83"/>
        <v>18.508257308740436</v>
      </c>
      <c r="AV109" s="1044">
        <f t="shared" si="84"/>
        <v>18.508257308740436</v>
      </c>
      <c r="AW109" s="1045">
        <f t="shared" si="85"/>
        <v>0</v>
      </c>
      <c r="AX109" s="1044">
        <f t="shared" si="51"/>
        <v>243.80868304919048</v>
      </c>
      <c r="AY109" s="1044">
        <f t="shared" si="54"/>
        <v>13.931800262988675</v>
      </c>
      <c r="AZ109" s="1067">
        <f t="shared" si="52"/>
        <v>9.2878668419924502</v>
      </c>
      <c r="BB109" s="1055">
        <f t="shared" si="86"/>
        <v>275.80852910829645</v>
      </c>
      <c r="BC109" s="1056">
        <f t="shared" si="87"/>
        <v>142.85308856090651</v>
      </c>
      <c r="BD109" s="1082">
        <f t="shared" si="101"/>
        <v>9.2878668419924502</v>
      </c>
      <c r="BE109" s="1056">
        <f t="shared" si="60"/>
        <v>427.94948451119546</v>
      </c>
      <c r="BF109" s="167">
        <v>0</v>
      </c>
      <c r="BG109" s="1075">
        <f t="shared" si="88"/>
        <v>427.94948451119546</v>
      </c>
      <c r="BI109" s="1055">
        <f t="shared" si="89"/>
        <v>275.80852910829645</v>
      </c>
      <c r="BJ109" s="1056">
        <f t="shared" si="90"/>
        <v>142.85308856090651</v>
      </c>
      <c r="BK109" s="1082">
        <f t="shared" si="91"/>
        <v>9.2878668419924502</v>
      </c>
      <c r="BL109" s="1056">
        <f t="shared" si="61"/>
        <v>427.94948451119546</v>
      </c>
      <c r="BM109" s="167">
        <v>0</v>
      </c>
      <c r="BN109" s="1075">
        <f t="shared" si="92"/>
        <v>427.94948451119546</v>
      </c>
    </row>
    <row r="110" spans="1:66">
      <c r="A110" s="927">
        <f>'Input data'!A140</f>
        <v>2040</v>
      </c>
      <c r="B110" s="824">
        <f>'Input data'!B140</f>
        <v>71.375</v>
      </c>
      <c r="C110" s="824">
        <f>'Recycling - Case 1'!AK120/B110</f>
        <v>269.97997987420922</v>
      </c>
      <c r="D110" s="826">
        <f>'Recycling - Case 1'!AM120</f>
        <v>0.17638631491661846</v>
      </c>
      <c r="E110" s="826">
        <f>'Recycling - Case 1'!BE120</f>
        <v>0.1848195766392278</v>
      </c>
      <c r="F110" s="826">
        <f>'Recycling - Case 1'!BF120</f>
        <v>0.23440122364103438</v>
      </c>
      <c r="G110" s="826">
        <f>'Recycling - Case 1'!BG120</f>
        <v>7.5210781752269112E-2</v>
      </c>
      <c r="H110" s="826">
        <f>'Recycling - Case 1'!BH120</f>
        <v>0</v>
      </c>
      <c r="I110" s="826">
        <f>'Recycling - Case 1'!BI120</f>
        <v>0</v>
      </c>
      <c r="J110" s="826">
        <f>'Recycling - Case 1'!BJ120</f>
        <v>0</v>
      </c>
      <c r="K110" s="826">
        <f>'Recycling - Case 1'!BK120</f>
        <v>0.50556841796746887</v>
      </c>
      <c r="L110" s="827">
        <f t="shared" si="100"/>
        <v>1.0000000000000002</v>
      </c>
      <c r="M110" s="104"/>
      <c r="N110" s="838">
        <f t="shared" si="57"/>
        <v>3398.932726497223</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0.10468749392499868</v>
      </c>
      <c r="Q110" s="832">
        <f t="shared" si="62"/>
        <v>165.90375554429144</v>
      </c>
      <c r="R110" s="832">
        <f t="shared" si="63"/>
        <v>165.90375554429144</v>
      </c>
      <c r="S110" s="835">
        <f t="shared" si="64"/>
        <v>0</v>
      </c>
      <c r="T110" s="832">
        <f t="shared" si="65"/>
        <v>8005.6348860580138</v>
      </c>
      <c r="U110" s="832">
        <f t="shared" si="66"/>
        <v>401.95161035468493</v>
      </c>
      <c r="V110" s="839">
        <f t="shared" si="67"/>
        <v>267.96774023645662</v>
      </c>
      <c r="W110" s="1449"/>
      <c r="X110" s="1025">
        <f>'Recycling - Case 1'!AM160</f>
        <v>349.79372821309863</v>
      </c>
      <c r="Y110" s="1026">
        <f>Parameters!S211</f>
        <v>0.71500000000000008</v>
      </c>
      <c r="Z110" s="1027">
        <f t="shared" si="68"/>
        <v>0.4</v>
      </c>
      <c r="AA110" s="1028">
        <f t="shared" si="69"/>
        <v>50.020503134473117</v>
      </c>
      <c r="AB110" s="1028">
        <f t="shared" si="70"/>
        <v>50.020503134473117</v>
      </c>
      <c r="AC110" s="1029">
        <f t="shared" si="71"/>
        <v>0</v>
      </c>
      <c r="AD110" s="1028">
        <f t="shared" si="72"/>
        <v>4063.3410346404153</v>
      </c>
      <c r="AE110" s="1028">
        <f t="shared" si="73"/>
        <v>205.76734375871717</v>
      </c>
      <c r="AF110" s="1030">
        <f t="shared" si="74"/>
        <v>137.17822917247813</v>
      </c>
      <c r="AG110" s="104"/>
      <c r="AH110" s="1025">
        <f>'Recycling - Case 1'!AM200</f>
        <v>349.79372821309863</v>
      </c>
      <c r="AI110" s="1026">
        <f>Parameters!S211</f>
        <v>0.71500000000000008</v>
      </c>
      <c r="AJ110" s="1027">
        <f t="shared" si="75"/>
        <v>0.4</v>
      </c>
      <c r="AK110" s="1028">
        <f t="shared" si="76"/>
        <v>50.020503134473117</v>
      </c>
      <c r="AL110" s="1028">
        <f t="shared" si="77"/>
        <v>50.020503134473117</v>
      </c>
      <c r="AM110" s="1029">
        <f t="shared" si="78"/>
        <v>0</v>
      </c>
      <c r="AN110" s="1028">
        <f t="shared" si="79"/>
        <v>4063.3410346404153</v>
      </c>
      <c r="AO110" s="1028">
        <f t="shared" si="80"/>
        <v>205.76734375871717</v>
      </c>
      <c r="AP110" s="1030">
        <f t="shared" si="81"/>
        <v>137.17822917247813</v>
      </c>
      <c r="AQ110" s="104"/>
      <c r="AR110" s="1064">
        <f>'Recycling - Case 1'!G120</f>
        <v>750.88285667877574</v>
      </c>
      <c r="AS110" s="1065">
        <v>1</v>
      </c>
      <c r="AT110" s="1066">
        <f t="shared" si="82"/>
        <v>0.05</v>
      </c>
      <c r="AU110" s="1044">
        <f t="shared" si="83"/>
        <v>18.772071416969393</v>
      </c>
      <c r="AV110" s="1044">
        <f t="shared" si="84"/>
        <v>18.772071416969393</v>
      </c>
      <c r="AW110" s="1045">
        <f t="shared" si="85"/>
        <v>0</v>
      </c>
      <c r="AX110" s="1044">
        <f t="shared" si="51"/>
        <v>248.38244209258019</v>
      </c>
      <c r="AY110" s="1044">
        <f t="shared" si="54"/>
        <v>14.198312373579681</v>
      </c>
      <c r="AZ110" s="1067">
        <f t="shared" si="52"/>
        <v>9.4655415823864537</v>
      </c>
      <c r="BB110" s="1055">
        <f t="shared" si="86"/>
        <v>267.96774023645662</v>
      </c>
      <c r="BC110" s="1056">
        <f t="shared" si="87"/>
        <v>137.17822917247813</v>
      </c>
      <c r="BD110" s="1082">
        <f t="shared" si="101"/>
        <v>9.4655415823864537</v>
      </c>
      <c r="BE110" s="1056">
        <f t="shared" si="60"/>
        <v>414.61151099132121</v>
      </c>
      <c r="BF110" s="167">
        <v>0</v>
      </c>
      <c r="BG110" s="1075">
        <f t="shared" si="88"/>
        <v>414.61151099132121</v>
      </c>
      <c r="BI110" s="1055">
        <f t="shared" si="89"/>
        <v>267.96774023645662</v>
      </c>
      <c r="BJ110" s="1056">
        <f t="shared" si="90"/>
        <v>137.17822917247813</v>
      </c>
      <c r="BK110" s="1082">
        <f t="shared" si="91"/>
        <v>9.4655415823864537</v>
      </c>
      <c r="BL110" s="1056">
        <f t="shared" si="61"/>
        <v>414.61151099132121</v>
      </c>
      <c r="BM110" s="167">
        <v>0</v>
      </c>
      <c r="BN110" s="1075">
        <f t="shared" si="92"/>
        <v>414.61151099132121</v>
      </c>
    </row>
    <row r="111" spans="1:66">
      <c r="A111" s="927">
        <f>'Input data'!A141</f>
        <v>2041</v>
      </c>
      <c r="B111" s="824">
        <f>'Input data'!B141</f>
        <v>71.819000000000003</v>
      </c>
      <c r="C111" s="824">
        <f>'Recycling - Case 1'!AK121/B111</f>
        <v>265.90137417483072</v>
      </c>
      <c r="D111" s="826">
        <f>'Recycling - Case 1'!AM121</f>
        <v>0.16923133946714664</v>
      </c>
      <c r="E111" s="826">
        <f>'Recycling - Case 1'!BE121</f>
        <v>0.18525382148550917</v>
      </c>
      <c r="F111" s="826">
        <f>'Recycling - Case 1'!BF121</f>
        <v>0.23495196358524967</v>
      </c>
      <c r="G111" s="826">
        <f>'Recycling - Case 1'!BG121</f>
        <v>7.5083226433237199E-2</v>
      </c>
      <c r="H111" s="826">
        <f>'Recycling - Case 1'!BH121</f>
        <v>0</v>
      </c>
      <c r="I111" s="826">
        <f>'Recycling - Case 1'!BI121</f>
        <v>0</v>
      </c>
      <c r="J111" s="826">
        <f>'Recycling - Case 1'!BJ121</f>
        <v>0</v>
      </c>
      <c r="K111" s="826">
        <f>'Recycling - Case 1'!BK121</f>
        <v>0.50471098849600393</v>
      </c>
      <c r="L111" s="827">
        <f t="shared" si="100"/>
        <v>1</v>
      </c>
      <c r="M111" s="104"/>
      <c r="N111" s="838">
        <f t="shared" si="57"/>
        <v>3231.7721006039169</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0.10481175651317121</v>
      </c>
      <c r="Q111" s="832">
        <f t="shared" si="62"/>
        <v>159.07500105039912</v>
      </c>
      <c r="R111" s="832">
        <f t="shared" si="63"/>
        <v>159.07500105039912</v>
      </c>
      <c r="S111" s="835">
        <f t="shared" si="64"/>
        <v>0</v>
      </c>
      <c r="T111" s="832">
        <f t="shared" si="65"/>
        <v>7774.2704664782023</v>
      </c>
      <c r="U111" s="832">
        <f t="shared" si="66"/>
        <v>390.43942063021012</v>
      </c>
      <c r="V111" s="839">
        <f t="shared" si="67"/>
        <v>260.29294708680675</v>
      </c>
      <c r="W111" s="1449"/>
      <c r="X111" s="1025">
        <f>'Recycling - Case 1'!AM161</f>
        <v>340.81789906235372</v>
      </c>
      <c r="Y111" s="1026">
        <f>Parameters!S212</f>
        <v>0.71500000000000008</v>
      </c>
      <c r="Z111" s="1027">
        <f t="shared" si="68"/>
        <v>0.4</v>
      </c>
      <c r="AA111" s="1028">
        <f t="shared" si="69"/>
        <v>48.736959565916585</v>
      </c>
      <c r="AB111" s="1028">
        <f t="shared" si="70"/>
        <v>48.736959565916585</v>
      </c>
      <c r="AC111" s="1029">
        <f t="shared" si="71"/>
        <v>0</v>
      </c>
      <c r="AD111" s="1028">
        <f t="shared" si="72"/>
        <v>3913.9065134970547</v>
      </c>
      <c r="AE111" s="1028">
        <f t="shared" si="73"/>
        <v>198.1714807092772</v>
      </c>
      <c r="AF111" s="1030">
        <f t="shared" si="74"/>
        <v>132.11432047285146</v>
      </c>
      <c r="AG111" s="104"/>
      <c r="AH111" s="1025">
        <f>'Recycling - Case 1'!AM201</f>
        <v>340.81789906235372</v>
      </c>
      <c r="AI111" s="1026">
        <f>Parameters!S212</f>
        <v>0.71500000000000008</v>
      </c>
      <c r="AJ111" s="1027">
        <f t="shared" si="75"/>
        <v>0.4</v>
      </c>
      <c r="AK111" s="1028">
        <f t="shared" si="76"/>
        <v>48.736959565916585</v>
      </c>
      <c r="AL111" s="1028">
        <f t="shared" si="77"/>
        <v>48.736959565916585</v>
      </c>
      <c r="AM111" s="1029">
        <f t="shared" si="78"/>
        <v>0</v>
      </c>
      <c r="AN111" s="1028">
        <f t="shared" si="79"/>
        <v>3913.9065134970547</v>
      </c>
      <c r="AO111" s="1028">
        <f t="shared" si="80"/>
        <v>198.1714807092772</v>
      </c>
      <c r="AP111" s="1030">
        <f t="shared" si="81"/>
        <v>132.11432047285146</v>
      </c>
      <c r="AQ111" s="104"/>
      <c r="AR111" s="1064">
        <f>'Recycling - Case 1'!G121</f>
        <v>760.7262051045102</v>
      </c>
      <c r="AS111" s="1065">
        <v>1</v>
      </c>
      <c r="AT111" s="1066">
        <f t="shared" si="82"/>
        <v>0.05</v>
      </c>
      <c r="AU111" s="1044">
        <f t="shared" si="83"/>
        <v>19.018155127612754</v>
      </c>
      <c r="AV111" s="1044">
        <f t="shared" si="84"/>
        <v>19.018155127612754</v>
      </c>
      <c r="AW111" s="1045">
        <f t="shared" si="85"/>
        <v>0</v>
      </c>
      <c r="AX111" s="1044">
        <f t="shared" si="51"/>
        <v>252.93592985544819</v>
      </c>
      <c r="AY111" s="1044">
        <f t="shared" si="54"/>
        <v>14.464667364744741</v>
      </c>
      <c r="AZ111" s="1067">
        <f t="shared" si="52"/>
        <v>9.6431115764964943</v>
      </c>
      <c r="BB111" s="1055">
        <f t="shared" si="86"/>
        <v>260.29294708680675</v>
      </c>
      <c r="BC111" s="1056">
        <f t="shared" si="87"/>
        <v>132.11432047285146</v>
      </c>
      <c r="BD111" s="1082">
        <f t="shared" si="101"/>
        <v>9.6431115764964943</v>
      </c>
      <c r="BE111" s="1056">
        <f t="shared" si="60"/>
        <v>402.05037913615467</v>
      </c>
      <c r="BF111" s="167">
        <v>0</v>
      </c>
      <c r="BG111" s="1075">
        <f t="shared" si="88"/>
        <v>402.05037913615467</v>
      </c>
      <c r="BI111" s="1055">
        <f t="shared" si="89"/>
        <v>260.29294708680675</v>
      </c>
      <c r="BJ111" s="1056">
        <f t="shared" si="90"/>
        <v>132.11432047285146</v>
      </c>
      <c r="BK111" s="1082">
        <f t="shared" si="91"/>
        <v>9.6431115764964943</v>
      </c>
      <c r="BL111" s="1056">
        <f t="shared" si="61"/>
        <v>402.05037913615467</v>
      </c>
      <c r="BM111" s="167">
        <v>0</v>
      </c>
      <c r="BN111" s="1075">
        <f t="shared" si="92"/>
        <v>402.05037913615467</v>
      </c>
    </row>
    <row r="112" spans="1:66">
      <c r="A112" s="927">
        <f>'Input data'!A142</f>
        <v>2042</v>
      </c>
      <c r="B112" s="824">
        <f>'Input data'!B142</f>
        <v>72.265000000000001</v>
      </c>
      <c r="C112" s="824">
        <f>'Recycling - Case 1'!AK122/B112</f>
        <v>261.87174235177775</v>
      </c>
      <c r="D112" s="826">
        <f>'Recycling - Case 1'!AM122</f>
        <v>0.16194173152760527</v>
      </c>
      <c r="E112" s="826">
        <f>'Recycling - Case 1'!BE122</f>
        <v>0.18568319708118253</v>
      </c>
      <c r="F112" s="826">
        <f>'Recycling - Case 1'!BF122</f>
        <v>0.23549652800238327</v>
      </c>
      <c r="G112" s="826">
        <f>'Recycling - Case 1'!BG122</f>
        <v>7.4957101410546359E-2</v>
      </c>
      <c r="H112" s="826">
        <f>'Recycling - Case 1'!BH122</f>
        <v>0</v>
      </c>
      <c r="I112" s="826">
        <f>'Recycling - Case 1'!BI122</f>
        <v>0</v>
      </c>
      <c r="J112" s="826">
        <f>'Recycling - Case 1'!BJ122</f>
        <v>0</v>
      </c>
      <c r="K112" s="826">
        <f>'Recycling - Case 1'!BK122</f>
        <v>0.50386317350588794</v>
      </c>
      <c r="L112" s="827">
        <f t="shared" si="100"/>
        <v>1</v>
      </c>
      <c r="M112" s="104"/>
      <c r="N112" s="838">
        <f t="shared" si="57"/>
        <v>3064.6114747106108</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0.10493462572687258</v>
      </c>
      <c r="Q112" s="832">
        <f t="shared" si="62"/>
        <v>152.10916487989849</v>
      </c>
      <c r="R112" s="832">
        <f t="shared" si="63"/>
        <v>152.10916487989849</v>
      </c>
      <c r="S112" s="835">
        <f t="shared" si="64"/>
        <v>0</v>
      </c>
      <c r="T112" s="832">
        <f t="shared" si="65"/>
        <v>7547.2239866208565</v>
      </c>
      <c r="U112" s="832">
        <f t="shared" si="66"/>
        <v>379.15564473724442</v>
      </c>
      <c r="V112" s="839">
        <f t="shared" si="67"/>
        <v>252.77042982482962</v>
      </c>
      <c r="W112" s="1449"/>
      <c r="X112" s="1025">
        <f>'Recycling - Case 1'!AM162</f>
        <v>334.91966168711309</v>
      </c>
      <c r="Y112" s="1026">
        <f>Parameters!S213</f>
        <v>0.71500000000000008</v>
      </c>
      <c r="Z112" s="1027">
        <f t="shared" si="68"/>
        <v>0.4</v>
      </c>
      <c r="AA112" s="1028">
        <f t="shared" si="69"/>
        <v>47.893511621257176</v>
      </c>
      <c r="AB112" s="1028">
        <f t="shared" si="70"/>
        <v>47.893511621257176</v>
      </c>
      <c r="AC112" s="1029">
        <f t="shared" si="71"/>
        <v>0</v>
      </c>
      <c r="AD112" s="1028">
        <f t="shared" si="72"/>
        <v>3770.9165520046563</v>
      </c>
      <c r="AE112" s="1028">
        <f t="shared" si="73"/>
        <v>190.88347311365527</v>
      </c>
      <c r="AF112" s="1030">
        <f t="shared" si="74"/>
        <v>127.25564874243685</v>
      </c>
      <c r="AG112" s="104"/>
      <c r="AH112" s="1025">
        <f>'Recycling - Case 1'!AM202</f>
        <v>334.91966168711309</v>
      </c>
      <c r="AI112" s="1026">
        <f>Parameters!S213</f>
        <v>0.71500000000000008</v>
      </c>
      <c r="AJ112" s="1027">
        <f t="shared" si="75"/>
        <v>0.4</v>
      </c>
      <c r="AK112" s="1028">
        <f t="shared" si="76"/>
        <v>47.893511621257176</v>
      </c>
      <c r="AL112" s="1028">
        <f t="shared" si="77"/>
        <v>47.893511621257176</v>
      </c>
      <c r="AM112" s="1029">
        <f t="shared" si="78"/>
        <v>0</v>
      </c>
      <c r="AN112" s="1028">
        <f t="shared" si="79"/>
        <v>3770.9165520046563</v>
      </c>
      <c r="AO112" s="1028">
        <f t="shared" si="80"/>
        <v>190.88347311365527</v>
      </c>
      <c r="AP112" s="1030">
        <f t="shared" si="81"/>
        <v>127.25564874243685</v>
      </c>
      <c r="AQ112" s="104"/>
      <c r="AR112" s="1064">
        <f>'Recycling - Case 1'!G122</f>
        <v>770.65483528643074</v>
      </c>
      <c r="AS112" s="1065">
        <v>1</v>
      </c>
      <c r="AT112" s="1066">
        <f t="shared" si="82"/>
        <v>0.05</v>
      </c>
      <c r="AU112" s="1044">
        <f t="shared" si="83"/>
        <v>19.266370882160771</v>
      </c>
      <c r="AV112" s="1044">
        <f t="shared" si="84"/>
        <v>19.266370882160771</v>
      </c>
      <c r="AW112" s="1045">
        <f t="shared" si="85"/>
        <v>0</v>
      </c>
      <c r="AX112" s="1044">
        <f t="shared" si="51"/>
        <v>257.47245888917519</v>
      </c>
      <c r="AY112" s="1044">
        <f t="shared" si="54"/>
        <v>14.729841848433775</v>
      </c>
      <c r="AZ112" s="1067">
        <f t="shared" si="52"/>
        <v>9.8198945656225174</v>
      </c>
      <c r="BB112" s="1055">
        <f t="shared" si="86"/>
        <v>252.77042982482962</v>
      </c>
      <c r="BC112" s="1056">
        <f t="shared" si="87"/>
        <v>127.25564874243685</v>
      </c>
      <c r="BD112" s="1082">
        <f t="shared" si="101"/>
        <v>9.8198945656225174</v>
      </c>
      <c r="BE112" s="1056">
        <f t="shared" si="60"/>
        <v>389.84597313288901</v>
      </c>
      <c r="BF112" s="167">
        <v>0</v>
      </c>
      <c r="BG112" s="1075">
        <f t="shared" si="88"/>
        <v>389.84597313288901</v>
      </c>
      <c r="BI112" s="1055">
        <f t="shared" si="89"/>
        <v>252.77042982482962</v>
      </c>
      <c r="BJ112" s="1056">
        <f t="shared" si="90"/>
        <v>127.25564874243685</v>
      </c>
      <c r="BK112" s="1082">
        <f t="shared" si="91"/>
        <v>9.8198945656225174</v>
      </c>
      <c r="BL112" s="1056">
        <f t="shared" si="61"/>
        <v>389.84597313288901</v>
      </c>
      <c r="BM112" s="167">
        <v>0</v>
      </c>
      <c r="BN112" s="1075">
        <f t="shared" si="92"/>
        <v>389.84597313288901</v>
      </c>
    </row>
    <row r="113" spans="1:66">
      <c r="A113" s="927">
        <f>'Input data'!A143</f>
        <v>2043</v>
      </c>
      <c r="B113" s="824">
        <f>'Input data'!B143</f>
        <v>72.713999999999999</v>
      </c>
      <c r="C113" s="824">
        <f>'Recycling - Case 1'!AK123/B113</f>
        <v>257.88847244714685</v>
      </c>
      <c r="D113" s="826">
        <f>'Recycling - Case 1'!AM123</f>
        <v>0.15451338677920054</v>
      </c>
      <c r="E113" s="826">
        <f>'Recycling - Case 1'!BE123</f>
        <v>0.18610871242314761</v>
      </c>
      <c r="F113" s="826">
        <f>'Recycling - Case 1'!BF123</f>
        <v>0.23603619657347483</v>
      </c>
      <c r="G113" s="826">
        <f>'Recycling - Case 1'!BG123</f>
        <v>7.4832110300894469E-2</v>
      </c>
      <c r="H113" s="826">
        <f>'Recycling - Case 1'!BH123</f>
        <v>0</v>
      </c>
      <c r="I113" s="826">
        <f>'Recycling - Case 1'!BI123</f>
        <v>0</v>
      </c>
      <c r="J113" s="826">
        <f>'Recycling - Case 1'!BJ123</f>
        <v>0</v>
      </c>
      <c r="K113" s="826">
        <f>'Recycling - Case 1'!BK123</f>
        <v>0.50302298070248308</v>
      </c>
      <c r="L113" s="827">
        <f t="shared" si="100"/>
        <v>1</v>
      </c>
      <c r="M113" s="104"/>
      <c r="N113" s="838">
        <f t="shared" si="57"/>
        <v>2897.4508488173046</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0.1050563902985249</v>
      </c>
      <c r="Q113" s="832">
        <f t="shared" si="62"/>
        <v>145.00651456592865</v>
      </c>
      <c r="R113" s="832">
        <f t="shared" si="63"/>
        <v>145.00651456592865</v>
      </c>
      <c r="S113" s="835">
        <f t="shared" si="64"/>
        <v>0</v>
      </c>
      <c r="T113" s="832">
        <f t="shared" si="65"/>
        <v>7324.1480439372699</v>
      </c>
      <c r="U113" s="832">
        <f t="shared" si="66"/>
        <v>368.08245724951462</v>
      </c>
      <c r="V113" s="839">
        <f t="shared" si="67"/>
        <v>245.38830483300976</v>
      </c>
      <c r="W113" s="1449"/>
      <c r="X113" s="1025">
        <f>'Recycling - Case 1'!AM163</f>
        <v>332.03351036089526</v>
      </c>
      <c r="Y113" s="1026">
        <f>Parameters!S214</f>
        <v>0.71500000000000008</v>
      </c>
      <c r="Z113" s="1027">
        <f t="shared" si="68"/>
        <v>0.4</v>
      </c>
      <c r="AA113" s="1028">
        <f t="shared" si="69"/>
        <v>47.480791981608029</v>
      </c>
      <c r="AB113" s="1028">
        <f t="shared" si="70"/>
        <v>47.480791981608029</v>
      </c>
      <c r="AC113" s="1029">
        <f t="shared" si="71"/>
        <v>0</v>
      </c>
      <c r="AD113" s="1028">
        <f t="shared" si="72"/>
        <v>3634.4875735852142</v>
      </c>
      <c r="AE113" s="1028">
        <f t="shared" si="73"/>
        <v>183.90977040105028</v>
      </c>
      <c r="AF113" s="1030">
        <f t="shared" si="74"/>
        <v>122.60651360070018</v>
      </c>
      <c r="AG113" s="104"/>
      <c r="AH113" s="1025">
        <f>'Recycling - Case 1'!AM203</f>
        <v>332.03351036089526</v>
      </c>
      <c r="AI113" s="1026">
        <f>Parameters!S214</f>
        <v>0.71500000000000008</v>
      </c>
      <c r="AJ113" s="1027">
        <f t="shared" si="75"/>
        <v>0.4</v>
      </c>
      <c r="AK113" s="1028">
        <f t="shared" si="76"/>
        <v>47.480791981608029</v>
      </c>
      <c r="AL113" s="1028">
        <f t="shared" si="77"/>
        <v>47.480791981608029</v>
      </c>
      <c r="AM113" s="1029">
        <f t="shared" si="78"/>
        <v>0</v>
      </c>
      <c r="AN113" s="1028">
        <f t="shared" si="79"/>
        <v>3634.4875735852142</v>
      </c>
      <c r="AO113" s="1028">
        <f t="shared" si="80"/>
        <v>183.90977040105028</v>
      </c>
      <c r="AP113" s="1030">
        <f t="shared" si="81"/>
        <v>122.60651360070018</v>
      </c>
      <c r="AQ113" s="104"/>
      <c r="AR113" s="1064">
        <f>'Recycling - Case 1'!G123</f>
        <v>780.67991564882448</v>
      </c>
      <c r="AS113" s="1065">
        <v>1</v>
      </c>
      <c r="AT113" s="1066">
        <f t="shared" si="82"/>
        <v>0.05</v>
      </c>
      <c r="AU113" s="1044">
        <f t="shared" si="83"/>
        <v>19.516997891220612</v>
      </c>
      <c r="AV113" s="1044">
        <f t="shared" si="84"/>
        <v>19.516997891220612</v>
      </c>
      <c r="AW113" s="1045">
        <f t="shared" si="85"/>
        <v>0</v>
      </c>
      <c r="AX113" s="1044">
        <f t="shared" si="51"/>
        <v>261.99542804777434</v>
      </c>
      <c r="AY113" s="1044">
        <f t="shared" si="54"/>
        <v>14.994028732621464</v>
      </c>
      <c r="AZ113" s="1067">
        <f t="shared" si="52"/>
        <v>9.996019155080976</v>
      </c>
      <c r="BB113" s="1055">
        <f t="shared" si="86"/>
        <v>245.38830483300976</v>
      </c>
      <c r="BC113" s="1056">
        <f t="shared" si="87"/>
        <v>122.60651360070018</v>
      </c>
      <c r="BD113" s="1082">
        <f t="shared" si="101"/>
        <v>9.996019155080976</v>
      </c>
      <c r="BE113" s="1056">
        <f t="shared" si="60"/>
        <v>377.99083758879095</v>
      </c>
      <c r="BF113" s="167">
        <v>0</v>
      </c>
      <c r="BG113" s="1075">
        <f t="shared" si="88"/>
        <v>377.99083758879095</v>
      </c>
      <c r="BI113" s="1055">
        <f t="shared" si="89"/>
        <v>245.38830483300976</v>
      </c>
      <c r="BJ113" s="1056">
        <f t="shared" si="90"/>
        <v>122.60651360070018</v>
      </c>
      <c r="BK113" s="1082">
        <f t="shared" si="91"/>
        <v>9.996019155080976</v>
      </c>
      <c r="BL113" s="1056">
        <f t="shared" si="61"/>
        <v>377.99083758879095</v>
      </c>
      <c r="BM113" s="167">
        <v>0</v>
      </c>
      <c r="BN113" s="1075">
        <f t="shared" si="92"/>
        <v>377.99083758879095</v>
      </c>
    </row>
    <row r="114" spans="1:66">
      <c r="A114" s="927">
        <f>'Input data'!A144</f>
        <v>2044</v>
      </c>
      <c r="B114" s="824">
        <f>'Input data'!B144</f>
        <v>73.165000000000006</v>
      </c>
      <c r="C114" s="824">
        <f>'Recycling - Case 1'!AK124/B114</f>
        <v>253.9530916961844</v>
      </c>
      <c r="D114" s="826">
        <f>'Recycling - Case 1'!AM124</f>
        <v>0.14694402532004694</v>
      </c>
      <c r="E114" s="826">
        <f>'Recycling - Case 1'!BE124</f>
        <v>0.18652946558829259</v>
      </c>
      <c r="F114" s="826">
        <f>'Recycling - Case 1'!BF124</f>
        <v>0.23656982541601548</v>
      </c>
      <c r="G114" s="826">
        <f>'Recycling - Case 1'!BG124</f>
        <v>7.470851803567044E-2</v>
      </c>
      <c r="H114" s="826">
        <f>'Recycling - Case 1'!BH124</f>
        <v>0</v>
      </c>
      <c r="I114" s="826">
        <f>'Recycling - Case 1'!BI124</f>
        <v>0</v>
      </c>
      <c r="J114" s="826">
        <f>'Recycling - Case 1'!BJ124</f>
        <v>0</v>
      </c>
      <c r="K114" s="826">
        <f>'Recycling - Case 1'!BK124</f>
        <v>0.50219219096002121</v>
      </c>
      <c r="L114" s="827">
        <f t="shared" si="100"/>
        <v>0.99999999999999978</v>
      </c>
      <c r="M114" s="104"/>
      <c r="N114" s="838">
        <f t="shared" si="57"/>
        <v>2730.2902229239985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0.10517679213571515</v>
      </c>
      <c r="Q114" s="832">
        <f t="shared" si="62"/>
        <v>137.76652948658167</v>
      </c>
      <c r="R114" s="832">
        <f t="shared" si="63"/>
        <v>137.76652948658167</v>
      </c>
      <c r="S114" s="835">
        <f t="shared" si="64"/>
        <v>0</v>
      </c>
      <c r="T114" s="832">
        <f t="shared" si="65"/>
        <v>7104.7116582790613</v>
      </c>
      <c r="U114" s="832">
        <f t="shared" si="66"/>
        <v>357.20291514479038</v>
      </c>
      <c r="V114" s="839">
        <f t="shared" si="67"/>
        <v>238.13527676319359</v>
      </c>
      <c r="W114" s="1449"/>
      <c r="X114" s="1025">
        <f>'Recycling - Case 1'!AM164</f>
        <v>332.12280727081838</v>
      </c>
      <c r="Y114" s="1026">
        <f>Parameters!S215</f>
        <v>0.71500000000000008</v>
      </c>
      <c r="Z114" s="1027">
        <f t="shared" si="68"/>
        <v>0.4</v>
      </c>
      <c r="AA114" s="1028">
        <f t="shared" si="69"/>
        <v>47.493561439727038</v>
      </c>
      <c r="AB114" s="1028">
        <f t="shared" si="70"/>
        <v>47.493561439727038</v>
      </c>
      <c r="AC114" s="1029">
        <f t="shared" si="71"/>
        <v>0</v>
      </c>
      <c r="AD114" s="1028">
        <f t="shared" si="72"/>
        <v>3504.7250844161867</v>
      </c>
      <c r="AE114" s="1028">
        <f t="shared" si="73"/>
        <v>177.25605060875441</v>
      </c>
      <c r="AF114" s="1030">
        <f t="shared" si="74"/>
        <v>118.17070040583627</v>
      </c>
      <c r="AG114" s="104"/>
      <c r="AH114" s="1025">
        <f>'Recycling - Case 1'!AM204</f>
        <v>332.12280727081838</v>
      </c>
      <c r="AI114" s="1026">
        <f>Parameters!S215</f>
        <v>0.71500000000000008</v>
      </c>
      <c r="AJ114" s="1027">
        <f t="shared" si="75"/>
        <v>0.4</v>
      </c>
      <c r="AK114" s="1028">
        <f t="shared" si="76"/>
        <v>47.493561439727038</v>
      </c>
      <c r="AL114" s="1028">
        <f t="shared" si="77"/>
        <v>47.493561439727038</v>
      </c>
      <c r="AM114" s="1029">
        <f t="shared" si="78"/>
        <v>0</v>
      </c>
      <c r="AN114" s="1028">
        <f t="shared" si="79"/>
        <v>3504.7250844161867</v>
      </c>
      <c r="AO114" s="1028">
        <f t="shared" si="80"/>
        <v>177.25605060875441</v>
      </c>
      <c r="AP114" s="1030">
        <f t="shared" si="81"/>
        <v>118.17070040583627</v>
      </c>
      <c r="AQ114" s="104"/>
      <c r="AR114" s="1064">
        <f>'Recycling - Case 1'!G124</f>
        <v>790.79128603823585</v>
      </c>
      <c r="AS114" s="1065">
        <v>1</v>
      </c>
      <c r="AT114" s="1066">
        <f t="shared" si="82"/>
        <v>0.05</v>
      </c>
      <c r="AU114" s="1044">
        <f t="shared" si="83"/>
        <v>19.769782150955898</v>
      </c>
      <c r="AV114" s="1044">
        <f t="shared" si="84"/>
        <v>19.769782150955898</v>
      </c>
      <c r="AW114" s="1045">
        <f t="shared" si="85"/>
        <v>0</v>
      </c>
      <c r="AX114" s="1044">
        <f t="shared" si="51"/>
        <v>266.50778424757368</v>
      </c>
      <c r="AY114" s="1044">
        <f t="shared" si="54"/>
        <v>15.257425951156543</v>
      </c>
      <c r="AZ114" s="1067">
        <f t="shared" si="52"/>
        <v>10.171617300771029</v>
      </c>
      <c r="BB114" s="1055">
        <f t="shared" si="86"/>
        <v>238.13527676319359</v>
      </c>
      <c r="BC114" s="1056">
        <f t="shared" si="87"/>
        <v>118.17070040583627</v>
      </c>
      <c r="BD114" s="1082">
        <f t="shared" si="101"/>
        <v>10.171617300771029</v>
      </c>
      <c r="BE114" s="1056">
        <f t="shared" si="60"/>
        <v>366.47759446980086</v>
      </c>
      <c r="BF114" s="167">
        <v>0</v>
      </c>
      <c r="BG114" s="1075">
        <f t="shared" si="88"/>
        <v>366.47759446980086</v>
      </c>
      <c r="BI114" s="1055">
        <f t="shared" si="89"/>
        <v>238.13527676319359</v>
      </c>
      <c r="BJ114" s="1056">
        <f t="shared" si="90"/>
        <v>118.17070040583627</v>
      </c>
      <c r="BK114" s="1082">
        <f t="shared" si="91"/>
        <v>10.171617300771029</v>
      </c>
      <c r="BL114" s="1056">
        <f t="shared" si="61"/>
        <v>366.47759446980086</v>
      </c>
      <c r="BM114" s="167">
        <v>0</v>
      </c>
      <c r="BN114" s="1075">
        <f t="shared" si="92"/>
        <v>366.47759446980086</v>
      </c>
    </row>
    <row r="115" spans="1:66">
      <c r="A115" s="927">
        <f>'Input data'!A145</f>
        <v>2045</v>
      </c>
      <c r="B115" s="824">
        <f>'Input data'!B145</f>
        <v>73.62</v>
      </c>
      <c r="C115" s="824">
        <f>'Recycling - Case 1'!AK125/B115</f>
        <v>250.06127884032082</v>
      </c>
      <c r="D115" s="826">
        <f>'Recycling - Case 1'!AM125</f>
        <v>0.13922855140193083</v>
      </c>
      <c r="E115" s="826">
        <f>'Recycling - Case 1'!BE125</f>
        <v>0.1869473464206976</v>
      </c>
      <c r="F115" s="826">
        <f>'Recycling - Case 1'!BF125</f>
        <v>0.23709981136357042</v>
      </c>
      <c r="G115" s="826">
        <f>'Recycling - Case 1'!BG125</f>
        <v>7.4585769491039067E-2</v>
      </c>
      <c r="H115" s="826">
        <f>'Recycling - Case 1'!BH125</f>
        <v>0</v>
      </c>
      <c r="I115" s="826">
        <f>'Recycling - Case 1'!BI125</f>
        <v>0</v>
      </c>
      <c r="J115" s="826">
        <f>'Recycling - Case 1'!BJ125</f>
        <v>0</v>
      </c>
      <c r="K115" s="826">
        <f>'Recycling - Case 1'!BK125</f>
        <v>0.50136707272469294</v>
      </c>
      <c r="L115" s="827">
        <f t="shared" si="100"/>
        <v>1</v>
      </c>
      <c r="M115" s="104"/>
      <c r="N115" s="838">
        <f t="shared" si="57"/>
        <v>2563.1295970306924</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0.10529637203223435</v>
      </c>
      <c r="Q115" s="832">
        <f t="shared" si="62"/>
        <v>130.38975962937118</v>
      </c>
      <c r="R115" s="832">
        <f t="shared" si="63"/>
        <v>130.38975962937118</v>
      </c>
      <c r="S115" s="835">
        <f t="shared" si="64"/>
        <v>0</v>
      </c>
      <c r="T115" s="832">
        <f t="shared" si="65"/>
        <v>6888.6005415776763</v>
      </c>
      <c r="U115" s="832">
        <f t="shared" si="66"/>
        <v>346.50087633075628</v>
      </c>
      <c r="V115" s="839">
        <f t="shared" si="67"/>
        <v>231.00058422050418</v>
      </c>
      <c r="W115" s="1449"/>
      <c r="X115" s="1025">
        <f>'Recycling - Case 1'!AM165</f>
        <v>335.20056348157624</v>
      </c>
      <c r="Y115" s="1026">
        <f>Parameters!S216</f>
        <v>0.71500000000000008</v>
      </c>
      <c r="Z115" s="1027">
        <f t="shared" si="68"/>
        <v>0.4</v>
      </c>
      <c r="AA115" s="1028">
        <f t="shared" si="69"/>
        <v>47.93368057786541</v>
      </c>
      <c r="AB115" s="1028">
        <f t="shared" si="70"/>
        <v>47.93368057786541</v>
      </c>
      <c r="AC115" s="1029">
        <f t="shared" si="71"/>
        <v>0</v>
      </c>
      <c r="AD115" s="1028">
        <f t="shared" si="72"/>
        <v>3381.7313056602911</v>
      </c>
      <c r="AE115" s="1028">
        <f t="shared" si="73"/>
        <v>170.92745933376108</v>
      </c>
      <c r="AF115" s="1030">
        <f t="shared" si="74"/>
        <v>113.95163955584071</v>
      </c>
      <c r="AG115" s="104"/>
      <c r="AH115" s="1025">
        <f>'Recycling - Case 1'!AM205</f>
        <v>335.20056348157624</v>
      </c>
      <c r="AI115" s="1026">
        <f>Parameters!S216</f>
        <v>0.71500000000000008</v>
      </c>
      <c r="AJ115" s="1027">
        <f t="shared" si="75"/>
        <v>0.4</v>
      </c>
      <c r="AK115" s="1028">
        <f t="shared" si="76"/>
        <v>47.93368057786541</v>
      </c>
      <c r="AL115" s="1028">
        <f t="shared" si="77"/>
        <v>47.93368057786541</v>
      </c>
      <c r="AM115" s="1029">
        <f t="shared" si="78"/>
        <v>0</v>
      </c>
      <c r="AN115" s="1028">
        <f t="shared" si="79"/>
        <v>3381.7313056602911</v>
      </c>
      <c r="AO115" s="1028">
        <f t="shared" si="80"/>
        <v>170.92745933376108</v>
      </c>
      <c r="AP115" s="1030">
        <f t="shared" si="81"/>
        <v>113.95163955584071</v>
      </c>
      <c r="AQ115" s="104"/>
      <c r="AR115" s="1064">
        <f>'Recycling - Case 1'!G125</f>
        <v>801.01113926454832</v>
      </c>
      <c r="AS115" s="1065">
        <v>1</v>
      </c>
      <c r="AT115" s="1066">
        <f t="shared" si="82"/>
        <v>0.05</v>
      </c>
      <c r="AU115" s="1044">
        <f t="shared" si="83"/>
        <v>20.025278481613711</v>
      </c>
      <c r="AV115" s="1044">
        <f t="shared" si="84"/>
        <v>20.025278481613711</v>
      </c>
      <c r="AW115" s="1045">
        <f t="shared" si="85"/>
        <v>0</v>
      </c>
      <c r="AX115" s="1044">
        <f t="shared" si="51"/>
        <v>271.01285761010155</v>
      </c>
      <c r="AY115" s="1044">
        <f t="shared" si="54"/>
        <v>15.520205119085865</v>
      </c>
      <c r="AZ115" s="1067">
        <f t="shared" si="52"/>
        <v>10.34680341272391</v>
      </c>
      <c r="BB115" s="1055">
        <f t="shared" si="86"/>
        <v>231.00058422050418</v>
      </c>
      <c r="BC115" s="1056">
        <f t="shared" si="87"/>
        <v>113.95163955584071</v>
      </c>
      <c r="BD115" s="1082">
        <f t="shared" si="101"/>
        <v>10.34680341272391</v>
      </c>
      <c r="BE115" s="1056">
        <f t="shared" si="60"/>
        <v>355.29902718906879</v>
      </c>
      <c r="BF115" s="167">
        <v>0</v>
      </c>
      <c r="BG115" s="1075">
        <f t="shared" si="88"/>
        <v>355.29902718906879</v>
      </c>
      <c r="BI115" s="1055">
        <f t="shared" si="89"/>
        <v>231.00058422050418</v>
      </c>
      <c r="BJ115" s="1056">
        <f t="shared" si="90"/>
        <v>113.95163955584071</v>
      </c>
      <c r="BK115" s="1082">
        <f t="shared" si="91"/>
        <v>10.34680341272391</v>
      </c>
      <c r="BL115" s="1056">
        <f t="shared" si="61"/>
        <v>355.29902718906879</v>
      </c>
      <c r="BM115" s="167">
        <v>0</v>
      </c>
      <c r="BN115" s="1075">
        <f t="shared" si="92"/>
        <v>355.29902718906879</v>
      </c>
    </row>
    <row r="116" spans="1:66">
      <c r="A116" s="927">
        <f>'Input data'!A146</f>
        <v>2046</v>
      </c>
      <c r="B116" s="824">
        <f>'Input data'!B146</f>
        <v>73.995000000000005</v>
      </c>
      <c r="C116" s="824">
        <f>'Recycling - Case 1'!AK126/B116</f>
        <v>246.36349908081343</v>
      </c>
      <c r="D116" s="826">
        <f>'Recycling - Case 1'!AM126</f>
        <v>0.1314324038991154</v>
      </c>
      <c r="E116" s="826">
        <f>'Recycling - Case 1'!BE126</f>
        <v>0.18728687635106353</v>
      </c>
      <c r="F116" s="826">
        <f>'Recycling - Case 1'!BF126</f>
        <v>0.2375304271705522</v>
      </c>
      <c r="G116" s="826">
        <f>'Recycling - Case 1'!BG126</f>
        <v>7.4486035783294283E-2</v>
      </c>
      <c r="H116" s="826">
        <f>'Recycling - Case 1'!BH126</f>
        <v>0</v>
      </c>
      <c r="I116" s="826">
        <f>'Recycling - Case 1'!BI126</f>
        <v>0</v>
      </c>
      <c r="J116" s="826">
        <f>'Recycling - Case 1'!BJ126</f>
        <v>0</v>
      </c>
      <c r="K116" s="826">
        <f>'Recycling - Case 1'!BK126</f>
        <v>0.50069666069509011</v>
      </c>
      <c r="L116" s="827">
        <f t="shared" si="100"/>
        <v>1</v>
      </c>
      <c r="M116" s="104"/>
      <c r="N116" s="838">
        <f t="shared" si="57"/>
        <v>2395.9689711373862</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0.10539353120008768</v>
      </c>
      <c r="Q116" s="832">
        <f t="shared" si="62"/>
        <v>122.85080024506593</v>
      </c>
      <c r="R116" s="832">
        <f t="shared" si="63"/>
        <v>122.85080024506593</v>
      </c>
      <c r="S116" s="835">
        <f t="shared" si="64"/>
        <v>0</v>
      </c>
      <c r="T116" s="832">
        <f>R116+(T115*$C$8)</f>
        <v>6675.490329025306</v>
      </c>
      <c r="U116" s="832">
        <f t="shared" si="66"/>
        <v>335.96101279743635</v>
      </c>
      <c r="V116" s="839">
        <f t="shared" si="67"/>
        <v>223.97400853162424</v>
      </c>
      <c r="W116" s="1449"/>
      <c r="X116" s="1025">
        <f>'Recycling - Case 1'!AM166</f>
        <v>341.15372672231274</v>
      </c>
      <c r="Y116" s="1026">
        <f>Parameters!S217</f>
        <v>0.71500000000000008</v>
      </c>
      <c r="Z116" s="1027">
        <f t="shared" si="68"/>
        <v>0.4</v>
      </c>
      <c r="AA116" s="1028">
        <f t="shared" si="69"/>
        <v>48.784982921290727</v>
      </c>
      <c r="AB116" s="1028">
        <f t="shared" si="70"/>
        <v>48.784982921290727</v>
      </c>
      <c r="AC116" s="1029">
        <f t="shared" si="71"/>
        <v>0</v>
      </c>
      <c r="AD116" s="1028">
        <f t="shared" si="72"/>
        <v>3265.5873066205772</v>
      </c>
      <c r="AE116" s="1028">
        <f t="shared" si="73"/>
        <v>164.92898196100418</v>
      </c>
      <c r="AF116" s="1030">
        <f t="shared" si="74"/>
        <v>109.95265464066945</v>
      </c>
      <c r="AG116" s="104"/>
      <c r="AH116" s="1025">
        <f>'Recycling - Case 1'!AM206</f>
        <v>341.15372672231274</v>
      </c>
      <c r="AI116" s="1026">
        <f>Parameters!S217</f>
        <v>0.71500000000000008</v>
      </c>
      <c r="AJ116" s="1027">
        <f t="shared" si="75"/>
        <v>0.4</v>
      </c>
      <c r="AK116" s="1028">
        <f t="shared" si="76"/>
        <v>48.784982921290727</v>
      </c>
      <c r="AL116" s="1028">
        <f t="shared" si="77"/>
        <v>48.784982921290727</v>
      </c>
      <c r="AM116" s="1029">
        <f t="shared" si="78"/>
        <v>0</v>
      </c>
      <c r="AN116" s="1028">
        <f t="shared" si="79"/>
        <v>3265.5873066205772</v>
      </c>
      <c r="AO116" s="1028">
        <f t="shared" si="80"/>
        <v>164.92898196100418</v>
      </c>
      <c r="AP116" s="1030">
        <f t="shared" si="81"/>
        <v>109.95265464066945</v>
      </c>
      <c r="AQ116" s="104"/>
      <c r="AR116" s="1064">
        <f>'Recycling - Case 1'!G126</f>
        <v>810.42034079476002</v>
      </c>
      <c r="AS116" s="1065">
        <v>1</v>
      </c>
      <c r="AT116" s="1066">
        <f t="shared" si="82"/>
        <v>0.05</v>
      </c>
      <c r="AU116" s="1044">
        <f t="shared" si="83"/>
        <v>20.260508519869003</v>
      </c>
      <c r="AV116" s="1044">
        <f t="shared" si="84"/>
        <v>20.260508519869003</v>
      </c>
      <c r="AW116" s="1045">
        <f t="shared" si="85"/>
        <v>0</v>
      </c>
      <c r="AX116" s="1044">
        <f t="shared" si="51"/>
        <v>275.4908059623807</v>
      </c>
      <c r="AY116" s="1044">
        <f t="shared" si="54"/>
        <v>15.782560167589853</v>
      </c>
      <c r="AZ116" s="1067">
        <f t="shared" si="52"/>
        <v>10.521706778393236</v>
      </c>
      <c r="BB116" s="1055">
        <f t="shared" si="86"/>
        <v>223.97400853162424</v>
      </c>
      <c r="BC116" s="1056">
        <f t="shared" si="87"/>
        <v>109.95265464066945</v>
      </c>
      <c r="BD116" s="1082">
        <f t="shared" si="101"/>
        <v>10.521706778393236</v>
      </c>
      <c r="BE116" s="1056">
        <f t="shared" si="60"/>
        <v>344.44836995068692</v>
      </c>
      <c r="BF116" s="167">
        <v>0</v>
      </c>
      <c r="BG116" s="1075">
        <f t="shared" si="88"/>
        <v>344.44836995068692</v>
      </c>
      <c r="BI116" s="1055">
        <f t="shared" si="89"/>
        <v>223.97400853162424</v>
      </c>
      <c r="BJ116" s="1056">
        <f t="shared" si="90"/>
        <v>109.95265464066945</v>
      </c>
      <c r="BK116" s="1082">
        <f t="shared" si="91"/>
        <v>10.521706778393236</v>
      </c>
      <c r="BL116" s="1056">
        <f t="shared" si="61"/>
        <v>344.44836995068692</v>
      </c>
      <c r="BM116" s="167">
        <v>0</v>
      </c>
      <c r="BN116" s="1075">
        <f t="shared" si="92"/>
        <v>344.44836995068692</v>
      </c>
    </row>
    <row r="117" spans="1:66">
      <c r="A117" s="927">
        <f>'Input data'!A147</f>
        <v>2047</v>
      </c>
      <c r="B117" s="824">
        <f>'Input data'!B147</f>
        <v>74.373000000000005</v>
      </c>
      <c r="C117" s="824">
        <f>'Recycling - Case 1'!AK127/B117</f>
        <v>242.69996214550423</v>
      </c>
      <c r="D117" s="826">
        <f>'Recycling - Case 1'!AM127</f>
        <v>0.12347746833223143</v>
      </c>
      <c r="E117" s="826">
        <f>'Recycling - Case 1'!BE127</f>
        <v>0.18762475359158476</v>
      </c>
      <c r="F117" s="826">
        <f>'Recycling - Case 1'!BF127</f>
        <v>0.23795894691969766</v>
      </c>
      <c r="G117" s="826">
        <f>'Recycling - Case 1'!BG127</f>
        <v>7.438678753756986E-2</v>
      </c>
      <c r="H117" s="826">
        <f>'Recycling - Case 1'!BH127</f>
        <v>0</v>
      </c>
      <c r="I117" s="826">
        <f>'Recycling - Case 1'!BI127</f>
        <v>0</v>
      </c>
      <c r="J117" s="826">
        <f>'Recycling - Case 1'!BJ127</f>
        <v>0</v>
      </c>
      <c r="K117" s="826">
        <f>'Recycling - Case 1'!BK127</f>
        <v>0.50002951195114786</v>
      </c>
      <c r="L117" s="827">
        <f t="shared" si="100"/>
        <v>1</v>
      </c>
      <c r="M117" s="104"/>
      <c r="N117" s="838">
        <f t="shared" si="57"/>
        <v>2228.8083452440806</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0.1054902174377052</v>
      </c>
      <c r="Q117" s="832">
        <f t="shared" si="62"/>
        <v>115.17817402909645</v>
      </c>
      <c r="R117" s="832">
        <f t="shared" si="63"/>
        <v>115.17817402909645</v>
      </c>
      <c r="S117" s="835">
        <f t="shared" si="64"/>
        <v>0</v>
      </c>
      <c r="T117" s="832">
        <f t="shared" ref="T117:T120" si="102">R117+(T116*$C$8)</f>
        <v>6465.1009979679202</v>
      </c>
      <c r="U117" s="832">
        <f t="shared" si="66"/>
        <v>325.56750508648213</v>
      </c>
      <c r="V117" s="839">
        <f t="shared" si="67"/>
        <v>217.04500339098809</v>
      </c>
      <c r="W117" s="1449"/>
      <c r="X117" s="1025">
        <f>'Recycling - Case 1'!AM167</f>
        <v>349.91129725454044</v>
      </c>
      <c r="Y117" s="1026">
        <f>Parameters!S218</f>
        <v>0.71500000000000008</v>
      </c>
      <c r="Z117" s="1027">
        <f t="shared" si="68"/>
        <v>0.4</v>
      </c>
      <c r="AA117" s="1028">
        <f t="shared" si="69"/>
        <v>50.037315507399292</v>
      </c>
      <c r="AB117" s="1028">
        <f t="shared" si="70"/>
        <v>50.037315507399292</v>
      </c>
      <c r="AC117" s="1029">
        <f t="shared" si="71"/>
        <v>0</v>
      </c>
      <c r="AD117" s="1028">
        <f t="shared" si="72"/>
        <v>3156.3600498409278</v>
      </c>
      <c r="AE117" s="1028">
        <f t="shared" si="73"/>
        <v>159.26457228704882</v>
      </c>
      <c r="AF117" s="1030">
        <f t="shared" si="74"/>
        <v>106.17638152469921</v>
      </c>
      <c r="AG117" s="104"/>
      <c r="AH117" s="1025">
        <f>'Recycling - Case 1'!AM207</f>
        <v>349.91129725454044</v>
      </c>
      <c r="AI117" s="1026">
        <f>Parameters!S218</f>
        <v>0.71500000000000008</v>
      </c>
      <c r="AJ117" s="1027">
        <f t="shared" si="75"/>
        <v>0.4</v>
      </c>
      <c r="AK117" s="1028">
        <f t="shared" si="76"/>
        <v>50.037315507399292</v>
      </c>
      <c r="AL117" s="1028">
        <f t="shared" si="77"/>
        <v>50.037315507399292</v>
      </c>
      <c r="AM117" s="1029">
        <f t="shared" si="78"/>
        <v>0</v>
      </c>
      <c r="AN117" s="1028">
        <f t="shared" si="79"/>
        <v>3156.3600498409278</v>
      </c>
      <c r="AO117" s="1028">
        <f t="shared" si="80"/>
        <v>159.26457228704882</v>
      </c>
      <c r="AP117" s="1030">
        <f t="shared" si="81"/>
        <v>106.17638152469921</v>
      </c>
      <c r="AQ117" s="104"/>
      <c r="AR117" s="1064">
        <f>'Recycling - Case 1'!G127</f>
        <v>819.91662999058281</v>
      </c>
      <c r="AS117" s="1065">
        <v>1</v>
      </c>
      <c r="AT117" s="1066">
        <f t="shared" si="82"/>
        <v>0.05</v>
      </c>
      <c r="AU117" s="1044">
        <f t="shared" si="83"/>
        <v>20.497915749764573</v>
      </c>
      <c r="AV117" s="1044">
        <f t="shared" si="84"/>
        <v>20.497915749764573</v>
      </c>
      <c r="AW117" s="1045">
        <f t="shared" si="85"/>
        <v>0</v>
      </c>
      <c r="AX117" s="1044">
        <f t="shared" si="51"/>
        <v>279.94538613367479</v>
      </c>
      <c r="AY117" s="1044">
        <f t="shared" si="54"/>
        <v>16.043335578470476</v>
      </c>
      <c r="AZ117" s="1067">
        <f t="shared" si="52"/>
        <v>10.695557052313651</v>
      </c>
      <c r="BB117" s="1055">
        <f t="shared" si="86"/>
        <v>217.04500339098809</v>
      </c>
      <c r="BC117" s="1056">
        <f t="shared" si="87"/>
        <v>106.17638152469921</v>
      </c>
      <c r="BD117" s="1082">
        <f t="shared" si="101"/>
        <v>10.695557052313651</v>
      </c>
      <c r="BE117" s="1056">
        <f t="shared" si="60"/>
        <v>333.91694196800091</v>
      </c>
      <c r="BF117" s="167">
        <v>0</v>
      </c>
      <c r="BG117" s="1075">
        <f t="shared" si="88"/>
        <v>333.91694196800091</v>
      </c>
      <c r="BI117" s="1055">
        <f t="shared" si="89"/>
        <v>217.04500339098809</v>
      </c>
      <c r="BJ117" s="1056">
        <f t="shared" si="90"/>
        <v>106.17638152469921</v>
      </c>
      <c r="BK117" s="1082">
        <f t="shared" si="91"/>
        <v>10.695557052313651</v>
      </c>
      <c r="BL117" s="1056">
        <f t="shared" si="61"/>
        <v>333.91694196800091</v>
      </c>
      <c r="BM117" s="167">
        <v>0</v>
      </c>
      <c r="BN117" s="1075">
        <f t="shared" si="92"/>
        <v>333.91694196800091</v>
      </c>
    </row>
    <row r="118" spans="1:66">
      <c r="A118" s="927">
        <f>'Input data'!A148</f>
        <v>2048</v>
      </c>
      <c r="B118" s="824">
        <f>'Input data'!B148</f>
        <v>74.753</v>
      </c>
      <c r="C118" s="824">
        <f>'Recycling - Case 1'!AK128/B118</f>
        <v>242.04439176999131</v>
      </c>
      <c r="D118" s="826">
        <f>'Recycling - Case 1'!AM128</f>
        <v>0.12318251713185575</v>
      </c>
      <c r="E118" s="826">
        <f>'Recycling - Case 1'!BE128</f>
        <v>0.18796008171031958</v>
      </c>
      <c r="F118" s="826">
        <f>'Recycling - Case 1'!BF128</f>
        <v>0.23838423369278747</v>
      </c>
      <c r="G118" s="826">
        <f>'Recycling - Case 1'!BG128</f>
        <v>7.4288288072275374E-2</v>
      </c>
      <c r="H118" s="826">
        <f>'Recycling - Case 1'!BH128</f>
        <v>0</v>
      </c>
      <c r="I118" s="826">
        <f>'Recycling - Case 1'!BI128</f>
        <v>0</v>
      </c>
      <c r="J118" s="826">
        <f>'Recycling - Case 1'!BJ128</f>
        <v>0</v>
      </c>
      <c r="K118" s="826">
        <f>'Recycling - Case 1'!BK128</f>
        <v>0.49936739652461754</v>
      </c>
      <c r="L118" s="827">
        <f t="shared" si="100"/>
        <v>1</v>
      </c>
      <c r="M118" s="104"/>
      <c r="N118" s="838">
        <f t="shared" si="57"/>
        <v>2228.8083452440806</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0.10558617422401557</v>
      </c>
      <c r="Q118" s="832">
        <f t="shared" si="62"/>
        <v>116.07718653923374</v>
      </c>
      <c r="R118" s="832">
        <f t="shared" si="63"/>
        <v>116.07718653923374</v>
      </c>
      <c r="S118" s="835">
        <f t="shared" si="64"/>
        <v>0</v>
      </c>
      <c r="T118" s="832">
        <f t="shared" si="102"/>
        <v>6265.8714881752503</v>
      </c>
      <c r="U118" s="832">
        <f t="shared" si="66"/>
        <v>315.30669633190359</v>
      </c>
      <c r="V118" s="839">
        <f t="shared" si="67"/>
        <v>210.20446422126906</v>
      </c>
      <c r="W118" s="1449"/>
      <c r="X118" s="1025">
        <f>'Recycling - Case 1'!AM168</f>
        <v>361.27667373026611</v>
      </c>
      <c r="Y118" s="1026">
        <f>Parameters!S219</f>
        <v>0.71500000000000008</v>
      </c>
      <c r="Z118" s="1027">
        <f t="shared" si="68"/>
        <v>0.4</v>
      </c>
      <c r="AA118" s="1028">
        <f t="shared" si="69"/>
        <v>51.662564343428059</v>
      </c>
      <c r="AB118" s="1028">
        <f t="shared" si="70"/>
        <v>51.662564343428059</v>
      </c>
      <c r="AC118" s="1029">
        <f t="shared" si="71"/>
        <v>0</v>
      </c>
      <c r="AD118" s="1028">
        <f t="shared" si="72"/>
        <v>3054.0851180706591</v>
      </c>
      <c r="AE118" s="1028">
        <f t="shared" si="73"/>
        <v>153.93749611369705</v>
      </c>
      <c r="AF118" s="1030">
        <f t="shared" si="74"/>
        <v>102.62499740913137</v>
      </c>
      <c r="AG118" s="104"/>
      <c r="AH118" s="1025">
        <f>'Recycling - Case 1'!AM208</f>
        <v>361.27667373026611</v>
      </c>
      <c r="AI118" s="1026">
        <f>Parameters!S219</f>
        <v>0.71500000000000008</v>
      </c>
      <c r="AJ118" s="1027">
        <f t="shared" si="75"/>
        <v>0.4</v>
      </c>
      <c r="AK118" s="1028">
        <f t="shared" si="76"/>
        <v>51.662564343428059</v>
      </c>
      <c r="AL118" s="1028">
        <f t="shared" si="77"/>
        <v>51.662564343428059</v>
      </c>
      <c r="AM118" s="1029">
        <f t="shared" si="78"/>
        <v>0</v>
      </c>
      <c r="AN118" s="1028">
        <f t="shared" si="79"/>
        <v>3054.0851180706591</v>
      </c>
      <c r="AO118" s="1028">
        <f t="shared" si="80"/>
        <v>153.93749611369705</v>
      </c>
      <c r="AP118" s="1030">
        <f t="shared" si="81"/>
        <v>102.62499740913137</v>
      </c>
      <c r="AQ118" s="104"/>
      <c r="AR118" s="1064">
        <f>'Recycling - Case 1'!G128</f>
        <v>829.48955862118044</v>
      </c>
      <c r="AS118" s="1065">
        <v>1</v>
      </c>
      <c r="AT118" s="1066">
        <f t="shared" si="82"/>
        <v>0.05</v>
      </c>
      <c r="AU118" s="1044">
        <f t="shared" si="83"/>
        <v>20.737238965529514</v>
      </c>
      <c r="AV118" s="1044">
        <f t="shared" si="84"/>
        <v>20.737238965529514</v>
      </c>
      <c r="AW118" s="1045">
        <f t="shared" si="85"/>
        <v>0</v>
      </c>
      <c r="AX118" s="1044">
        <f t="shared" si="51"/>
        <v>284.37987496677215</v>
      </c>
      <c r="AY118" s="1044">
        <f t="shared" si="54"/>
        <v>16.302750132432141</v>
      </c>
      <c r="AZ118" s="1067">
        <f t="shared" si="52"/>
        <v>10.868500088288094</v>
      </c>
      <c r="BB118" s="1055">
        <f t="shared" si="86"/>
        <v>210.20446422126906</v>
      </c>
      <c r="BC118" s="1056">
        <f t="shared" si="87"/>
        <v>102.62499740913137</v>
      </c>
      <c r="BD118" s="1082">
        <f t="shared" si="101"/>
        <v>10.868500088288094</v>
      </c>
      <c r="BE118" s="1056">
        <f t="shared" si="60"/>
        <v>323.69796171868853</v>
      </c>
      <c r="BF118" s="167">
        <v>0</v>
      </c>
      <c r="BG118" s="1075">
        <f t="shared" si="88"/>
        <v>323.69796171868853</v>
      </c>
      <c r="BI118" s="1055">
        <f t="shared" si="89"/>
        <v>210.20446422126906</v>
      </c>
      <c r="BJ118" s="1056">
        <f t="shared" si="90"/>
        <v>102.62499740913137</v>
      </c>
      <c r="BK118" s="1082">
        <f t="shared" si="91"/>
        <v>10.868500088288094</v>
      </c>
      <c r="BL118" s="1056">
        <f t="shared" si="61"/>
        <v>323.69796171868853</v>
      </c>
      <c r="BM118" s="167">
        <v>0</v>
      </c>
      <c r="BN118" s="1075">
        <f t="shared" si="92"/>
        <v>323.69796171868853</v>
      </c>
    </row>
    <row r="119" spans="1:66">
      <c r="A119" s="927">
        <f>'Input data'!A149</f>
        <v>2049</v>
      </c>
      <c r="B119" s="824">
        <f>'Input data'!B149</f>
        <v>75.134</v>
      </c>
      <c r="C119" s="824">
        <f>'Recycling - Case 1'!AK129/B119</f>
        <v>241.39391898558998</v>
      </c>
      <c r="D119" s="826">
        <f>'Recycling - Case 1'!AM129</f>
        <v>0.12288811687718372</v>
      </c>
      <c r="E119" s="826">
        <f>'Recycling - Case 1'!BE129</f>
        <v>0.18829201003726304</v>
      </c>
      <c r="F119" s="826">
        <f>'Recycling - Case 1'!BF129</f>
        <v>0.23880520861011736</v>
      </c>
      <c r="G119" s="826">
        <f>'Recycling - Case 1'!BG129</f>
        <v>7.4190787263684166E-2</v>
      </c>
      <c r="H119" s="826">
        <f>'Recycling - Case 1'!BH129</f>
        <v>0</v>
      </c>
      <c r="I119" s="826">
        <f>'Recycling - Case 1'!BI129</f>
        <v>0</v>
      </c>
      <c r="J119" s="826">
        <f>'Recycling - Case 1'!BJ129</f>
        <v>0</v>
      </c>
      <c r="K119" s="826">
        <f>'Recycling - Case 1'!BK129</f>
        <v>0.49871199408893535</v>
      </c>
      <c r="L119" s="827">
        <f t="shared" si="100"/>
        <v>0.99999999999999978</v>
      </c>
      <c r="M119" s="104"/>
      <c r="N119" s="838">
        <f t="shared" si="57"/>
        <v>2228.8083452440806</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0.10568115813308659</v>
      </c>
      <c r="Q119" s="832">
        <f t="shared" si="62"/>
        <v>116.97656580680186</v>
      </c>
      <c r="R119" s="832">
        <f t="shared" si="63"/>
        <v>116.97656580680186</v>
      </c>
      <c r="S119" s="835">
        <f t="shared" si="64"/>
        <v>0</v>
      </c>
      <c r="T119" s="832">
        <f t="shared" si="102"/>
        <v>6077.2578954991777</v>
      </c>
      <c r="U119" s="832">
        <f t="shared" si="66"/>
        <v>305.59015848287447</v>
      </c>
      <c r="V119" s="839">
        <f t="shared" si="67"/>
        <v>203.72677232191631</v>
      </c>
      <c r="W119" s="1449"/>
      <c r="X119" s="1025">
        <f>'Recycling - Case 1'!AM169</f>
        <v>375.32131551978239</v>
      </c>
      <c r="Y119" s="1026">
        <f>Parameters!S220</f>
        <v>0.71500000000000008</v>
      </c>
      <c r="Z119" s="1027">
        <f t="shared" si="68"/>
        <v>0.4</v>
      </c>
      <c r="AA119" s="1028">
        <f t="shared" si="69"/>
        <v>53.670948119328891</v>
      </c>
      <c r="AB119" s="1028">
        <f t="shared" si="70"/>
        <v>53.670948119328891</v>
      </c>
      <c r="AC119" s="1029">
        <f t="shared" si="71"/>
        <v>0</v>
      </c>
      <c r="AD119" s="1028">
        <f t="shared" si="72"/>
        <v>2958.8065773578769</v>
      </c>
      <c r="AE119" s="1028">
        <f t="shared" si="73"/>
        <v>148.94948883211083</v>
      </c>
      <c r="AF119" s="1030">
        <f t="shared" si="74"/>
        <v>99.299659221407225</v>
      </c>
      <c r="AG119" s="104"/>
      <c r="AH119" s="1025">
        <f>'Recycling - Case 1'!AM209</f>
        <v>375.32131551978239</v>
      </c>
      <c r="AI119" s="1026">
        <f>Parameters!S220</f>
        <v>0.71500000000000008</v>
      </c>
      <c r="AJ119" s="1027">
        <f t="shared" si="75"/>
        <v>0.4</v>
      </c>
      <c r="AK119" s="1028">
        <f t="shared" si="76"/>
        <v>53.670948119328891</v>
      </c>
      <c r="AL119" s="1028">
        <f t="shared" si="77"/>
        <v>53.670948119328891</v>
      </c>
      <c r="AM119" s="1029">
        <f t="shared" si="78"/>
        <v>0</v>
      </c>
      <c r="AN119" s="1028">
        <f t="shared" si="79"/>
        <v>2958.8065773578769</v>
      </c>
      <c r="AO119" s="1028">
        <f t="shared" si="80"/>
        <v>148.94948883211083</v>
      </c>
      <c r="AP119" s="1030">
        <f t="shared" si="81"/>
        <v>99.299659221407225</v>
      </c>
      <c r="AQ119" s="104"/>
      <c r="AR119" s="1064">
        <f>'Recycling - Case 1'!G129</f>
        <v>839.12839037833646</v>
      </c>
      <c r="AS119" s="1065">
        <v>1</v>
      </c>
      <c r="AT119" s="1066">
        <f t="shared" si="82"/>
        <v>0.05</v>
      </c>
      <c r="AU119" s="1044">
        <f t="shared" si="83"/>
        <v>20.978209759458412</v>
      </c>
      <c r="AV119" s="1044">
        <f t="shared" si="84"/>
        <v>20.978209759458412</v>
      </c>
      <c r="AW119" s="1045">
        <f t="shared" si="85"/>
        <v>0</v>
      </c>
      <c r="AX119" s="1044">
        <f t="shared" si="51"/>
        <v>288.79709006828756</v>
      </c>
      <c r="AY119" s="1044">
        <f t="shared" si="54"/>
        <v>16.560994657943009</v>
      </c>
      <c r="AZ119" s="1067">
        <f t="shared" si="52"/>
        <v>11.040663105295339</v>
      </c>
      <c r="BB119" s="1055">
        <f t="shared" si="86"/>
        <v>203.72677232191631</v>
      </c>
      <c r="BC119" s="1056">
        <f t="shared" si="87"/>
        <v>99.299659221407225</v>
      </c>
      <c r="BD119" s="1082">
        <f t="shared" si="101"/>
        <v>11.040663105295339</v>
      </c>
      <c r="BE119" s="1056">
        <f t="shared" si="60"/>
        <v>314.06709464861888</v>
      </c>
      <c r="BF119" s="167">
        <v>0</v>
      </c>
      <c r="BG119" s="1075">
        <f t="shared" si="88"/>
        <v>314.06709464861888</v>
      </c>
      <c r="BI119" s="1055">
        <f t="shared" si="89"/>
        <v>203.72677232191631</v>
      </c>
      <c r="BJ119" s="1056">
        <f t="shared" si="90"/>
        <v>99.299659221407225</v>
      </c>
      <c r="BK119" s="1082">
        <f t="shared" si="91"/>
        <v>11.040663105295339</v>
      </c>
      <c r="BL119" s="1056">
        <f t="shared" si="61"/>
        <v>314.06709464861888</v>
      </c>
      <c r="BM119" s="167">
        <v>0</v>
      </c>
      <c r="BN119" s="1075">
        <f t="shared" si="92"/>
        <v>314.06709464861888</v>
      </c>
    </row>
    <row r="120" spans="1:66" ht="15" thickBot="1">
      <c r="A120" s="928">
        <f>'Input data'!A150</f>
        <v>2050</v>
      </c>
      <c r="B120" s="828">
        <f>'Input data'!B150</f>
        <v>75.518000000000001</v>
      </c>
      <c r="C120" s="828">
        <f>'Recycling - Case 1'!AK130/B120</f>
        <v>240.74512902959015</v>
      </c>
      <c r="D120" s="830">
        <f>'Recycling - Case 1'!AM130</f>
        <v>0.12259273571767991</v>
      </c>
      <c r="E120" s="830">
        <f>'Recycling - Case 1'!BE130</f>
        <v>0.18862229594831115</v>
      </c>
      <c r="F120" s="830">
        <f>'Recycling - Case 1'!BF130</f>
        <v>0.23922410049975856</v>
      </c>
      <c r="G120" s="830">
        <f>'Recycling - Case 1'!BG130</f>
        <v>7.4093768899237814E-2</v>
      </c>
      <c r="H120" s="830">
        <f>'Recycling - Case 1'!BH130</f>
        <v>0</v>
      </c>
      <c r="I120" s="830">
        <f>'Recycling - Case 1'!BI130</f>
        <v>0</v>
      </c>
      <c r="J120" s="830">
        <f>'Recycling - Case 1'!BJ130</f>
        <v>0</v>
      </c>
      <c r="K120" s="830">
        <f>'Recycling - Case 1'!BK130</f>
        <v>0.49805983465269249</v>
      </c>
      <c r="L120" s="831">
        <f t="shared" si="100"/>
        <v>1</v>
      </c>
      <c r="M120" s="104"/>
      <c r="N120" s="840">
        <f t="shared" si="57"/>
        <v>2228.8083452440806</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0.10577567205189352</v>
      </c>
      <c r="Q120" s="843">
        <f t="shared" si="62"/>
        <v>117.87685029653066</v>
      </c>
      <c r="R120" s="843">
        <f t="shared" si="63"/>
        <v>117.87685029653066</v>
      </c>
      <c r="S120" s="844">
        <f t="shared" si="64"/>
        <v>0</v>
      </c>
      <c r="T120" s="843">
        <f t="shared" si="102"/>
        <v>5898.7433807746338</v>
      </c>
      <c r="U120" s="843">
        <f t="shared" si="66"/>
        <v>296.39136502107448</v>
      </c>
      <c r="V120" s="845">
        <f t="shared" si="67"/>
        <v>197.59424334738299</v>
      </c>
      <c r="W120" s="1449"/>
      <c r="X120" s="1031">
        <f>'Recycling - Case 1'!AM170</f>
        <v>391.97794668474421</v>
      </c>
      <c r="Y120" s="1032">
        <f>Parameters!S221</f>
        <v>0.71500000000000008</v>
      </c>
      <c r="Z120" s="1033">
        <f t="shared" si="68"/>
        <v>0.4</v>
      </c>
      <c r="AA120" s="1034">
        <f t="shared" si="69"/>
        <v>56.052846375918428</v>
      </c>
      <c r="AB120" s="1034">
        <f t="shared" si="70"/>
        <v>56.052846375918428</v>
      </c>
      <c r="AC120" s="1035">
        <f t="shared" si="71"/>
        <v>0</v>
      </c>
      <c r="AD120" s="1034">
        <f t="shared" si="72"/>
        <v>2870.5567241649787</v>
      </c>
      <c r="AE120" s="1034">
        <f t="shared" si="73"/>
        <v>144.30269956881628</v>
      </c>
      <c r="AF120" s="1036">
        <f t="shared" si="74"/>
        <v>96.201799712544187</v>
      </c>
      <c r="AG120" s="104"/>
      <c r="AH120" s="1031">
        <f>'Recycling - Case 1'!AM210</f>
        <v>391.97794668474421</v>
      </c>
      <c r="AI120" s="1032">
        <f>Parameters!S221</f>
        <v>0.71500000000000008</v>
      </c>
      <c r="AJ120" s="1033">
        <f t="shared" si="75"/>
        <v>0.4</v>
      </c>
      <c r="AK120" s="1034">
        <f t="shared" si="76"/>
        <v>56.052846375918428</v>
      </c>
      <c r="AL120" s="1034">
        <f t="shared" si="77"/>
        <v>56.052846375918428</v>
      </c>
      <c r="AM120" s="1035">
        <f t="shared" si="78"/>
        <v>0</v>
      </c>
      <c r="AN120" s="1034">
        <f t="shared" si="79"/>
        <v>2870.5567241649787</v>
      </c>
      <c r="AO120" s="1034">
        <f t="shared" si="80"/>
        <v>144.30269956881628</v>
      </c>
      <c r="AP120" s="1036">
        <f t="shared" si="81"/>
        <v>96.201799712544187</v>
      </c>
      <c r="AQ120" s="104"/>
      <c r="AR120" s="1068">
        <f>'Recycling - Case 1'!G130</f>
        <v>848.8558222073508</v>
      </c>
      <c r="AS120" s="1069">
        <f>Parameters!R221</f>
        <v>1</v>
      </c>
      <c r="AT120" s="1070">
        <f t="shared" si="82"/>
        <v>0.05</v>
      </c>
      <c r="AU120" s="1049">
        <f t="shared" si="83"/>
        <v>21.221395555183772</v>
      </c>
      <c r="AV120" s="1049">
        <f t="shared" si="84"/>
        <v>21.221395555183772</v>
      </c>
      <c r="AW120" s="1050">
        <f t="shared" si="85"/>
        <v>0</v>
      </c>
      <c r="AX120" s="1049">
        <f t="shared" si="51"/>
        <v>293.20025238383289</v>
      </c>
      <c r="AY120" s="1049">
        <f t="shared" si="54"/>
        <v>16.81823323963846</v>
      </c>
      <c r="AZ120" s="1071">
        <f t="shared" si="52"/>
        <v>11.212155493092306</v>
      </c>
      <c r="BB120" s="1057">
        <f t="shared" si="86"/>
        <v>197.59424334738299</v>
      </c>
      <c r="BC120" s="1058">
        <f t="shared" si="87"/>
        <v>96.201799712544187</v>
      </c>
      <c r="BD120" s="1083">
        <f t="shared" si="101"/>
        <v>11.212155493092306</v>
      </c>
      <c r="BE120" s="1058">
        <f t="shared" si="60"/>
        <v>305.0081985530195</v>
      </c>
      <c r="BF120" s="1059">
        <v>0</v>
      </c>
      <c r="BG120" s="1076">
        <f t="shared" si="88"/>
        <v>305.0081985530195</v>
      </c>
      <c r="BI120" s="1057">
        <f t="shared" si="89"/>
        <v>197.59424334738299</v>
      </c>
      <c r="BJ120" s="1058">
        <f t="shared" si="90"/>
        <v>96.201799712544187</v>
      </c>
      <c r="BK120" s="1083">
        <f t="shared" si="91"/>
        <v>11.212155493092306</v>
      </c>
      <c r="BL120" s="1058">
        <f t="shared" si="61"/>
        <v>305.0081985530195</v>
      </c>
      <c r="BM120" s="1059">
        <v>0</v>
      </c>
      <c r="BN120" s="1076">
        <f t="shared" si="92"/>
        <v>305.0081985530195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14"/>
    <col min="56" max="56" width="8.88671875" style="1078"/>
    <col min="57" max="57" width="11.33203125" customWidth="1"/>
    <col min="59" max="59" width="12.33203125" customWidth="1"/>
    <col min="61" max="62" width="11.33203125" customWidth="1"/>
    <col min="63" max="63" width="11.33203125" style="1078" customWidth="1"/>
    <col min="64" max="64" width="11.33203125" customWidth="1"/>
    <col min="66" max="66" width="12.332031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8" t="s">
        <v>319</v>
      </c>
      <c r="BC13" s="1749"/>
      <c r="BD13" s="1749"/>
      <c r="BE13" s="1749"/>
      <c r="BF13" s="1749"/>
      <c r="BG13" s="1750"/>
      <c r="BI13" s="1748" t="s">
        <v>319</v>
      </c>
      <c r="BJ13" s="1749"/>
      <c r="BK13" s="1749"/>
      <c r="BL13" s="1749"/>
      <c r="BM13" s="1749"/>
      <c r="BN13" s="1750"/>
    </row>
    <row r="14" spans="1:66" ht="1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2" customHeight="1">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62"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2.8">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3"/>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4"/>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2012.0587935538863</v>
      </c>
      <c r="Y31" s="907">
        <f>Parameters!S132</f>
        <v>0.71500000000000008</v>
      </c>
      <c r="Z31" s="907">
        <f t="shared" si="9"/>
        <v>0.4</v>
      </c>
      <c r="AA31" s="906">
        <f t="shared" si="10"/>
        <v>287.72440747820582</v>
      </c>
      <c r="AB31" s="906">
        <f t="shared" si="11"/>
        <v>287.72440747820582</v>
      </c>
      <c r="AC31" s="286">
        <f t="shared" si="12"/>
        <v>0</v>
      </c>
      <c r="AD31" s="906">
        <f t="shared" si="13"/>
        <v>287.72440747820582</v>
      </c>
      <c r="AE31" s="906">
        <f t="shared" si="14"/>
        <v>0</v>
      </c>
      <c r="AF31" s="915">
        <f t="shared" si="15"/>
        <v>0</v>
      </c>
      <c r="AG31" s="1450">
        <f t="shared" si="16"/>
        <v>0.13527885904981399</v>
      </c>
      <c r="AH31" s="914">
        <f>'Baseline data (from input)'!AS17*AG31</f>
        <v>2012.0587935538863</v>
      </c>
      <c r="AI31" s="907">
        <f>Parameters!S132</f>
        <v>0.71500000000000008</v>
      </c>
      <c r="AJ31" s="907">
        <f t="shared" si="17"/>
        <v>0.4</v>
      </c>
      <c r="AK31" s="906">
        <f t="shared" si="18"/>
        <v>287.72440747820582</v>
      </c>
      <c r="AL31" s="906">
        <f t="shared" si="19"/>
        <v>287.72440747820582</v>
      </c>
      <c r="AM31" s="286">
        <f t="shared" si="20"/>
        <v>0</v>
      </c>
      <c r="AN31" s="906">
        <f t="shared" si="21"/>
        <v>287.72440747820582</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2136.3614336223122</v>
      </c>
      <c r="Y32" s="907">
        <f>Parameters!S133</f>
        <v>0.71500000000000008</v>
      </c>
      <c r="Z32" s="907">
        <f t="shared" si="9"/>
        <v>0.4</v>
      </c>
      <c r="AA32" s="906">
        <f t="shared" si="10"/>
        <v>305.49968500799071</v>
      </c>
      <c r="AB32" s="906">
        <f t="shared" si="11"/>
        <v>305.49968500799071</v>
      </c>
      <c r="AC32" s="286">
        <f t="shared" si="12"/>
        <v>0</v>
      </c>
      <c r="AD32" s="906">
        <f t="shared" si="13"/>
        <v>579.1916075482934</v>
      </c>
      <c r="AE32" s="906">
        <f t="shared" si="14"/>
        <v>14.032484937903162</v>
      </c>
      <c r="AF32" s="915">
        <f t="shared" si="15"/>
        <v>9.3549899586021077</v>
      </c>
      <c r="AG32" s="1450">
        <f t="shared" si="16"/>
        <v>0.13527885904981399</v>
      </c>
      <c r="AH32" s="914">
        <f>'Baseline data (from input)'!AS18*AG32</f>
        <v>2136.3614336223122</v>
      </c>
      <c r="AI32" s="907">
        <f>Parameters!S133</f>
        <v>0.71500000000000008</v>
      </c>
      <c r="AJ32" s="907">
        <f t="shared" si="17"/>
        <v>0.4</v>
      </c>
      <c r="AK32" s="906">
        <f t="shared" si="18"/>
        <v>305.49968500799071</v>
      </c>
      <c r="AL32" s="906">
        <f t="shared" si="19"/>
        <v>305.49968500799071</v>
      </c>
      <c r="AM32" s="286">
        <f t="shared" si="20"/>
        <v>0</v>
      </c>
      <c r="AN32" s="906">
        <f t="shared" si="21"/>
        <v>579.1916075482934</v>
      </c>
      <c r="AO32" s="906">
        <f t="shared" si="22"/>
        <v>14.032484937903162</v>
      </c>
      <c r="AP32" s="915">
        <f t="shared" si="23"/>
        <v>9.3549899586021077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9.3549899586021077</v>
      </c>
      <c r="BD32" s="1080">
        <f t="shared" si="33"/>
        <v>0</v>
      </c>
      <c r="BE32" s="301">
        <f t="shared" si="34"/>
        <v>49.339526531707875</v>
      </c>
      <c r="BF32" s="104">
        <v>0</v>
      </c>
      <c r="BG32" s="302">
        <f t="shared" si="35"/>
        <v>49.339526531707875</v>
      </c>
      <c r="BI32" s="300">
        <f t="shared" si="36"/>
        <v>39.984536573105771</v>
      </c>
      <c r="BJ32" s="301">
        <f t="shared" si="37"/>
        <v>9.3549899586021077</v>
      </c>
      <c r="BK32" s="1080">
        <f t="shared" si="38"/>
        <v>0</v>
      </c>
      <c r="BL32" s="301">
        <f t="shared" si="39"/>
        <v>49.339526531707875</v>
      </c>
      <c r="BM32" s="104">
        <v>0</v>
      </c>
      <c r="BN32" s="302">
        <f t="shared" si="40"/>
        <v>49.339526531707875</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2293.8884534256958</v>
      </c>
      <c r="Y33" s="908">
        <f>Parameters!S134</f>
        <v>0.71500000000000008</v>
      </c>
      <c r="Z33" s="908">
        <f t="shared" si="9"/>
        <v>0.4</v>
      </c>
      <c r="AA33" s="906">
        <f t="shared" si="10"/>
        <v>328.02604883987453</v>
      </c>
      <c r="AB33" s="906">
        <f t="shared" si="11"/>
        <v>328.02604883987453</v>
      </c>
      <c r="AC33" s="286">
        <f t="shared" si="12"/>
        <v>0</v>
      </c>
      <c r="AD33" s="906">
        <f t="shared" si="13"/>
        <v>878.97014836368112</v>
      </c>
      <c r="AE33" s="906">
        <f t="shared" si="14"/>
        <v>28.247508024486862</v>
      </c>
      <c r="AF33" s="915">
        <f t="shared" si="15"/>
        <v>18.831672016324575</v>
      </c>
      <c r="AG33" s="1450">
        <f t="shared" si="16"/>
        <v>0.13527885904981399</v>
      </c>
      <c r="AH33" s="914">
        <f>'Baseline data (from input)'!AS19*AG33</f>
        <v>2293.8884534256958</v>
      </c>
      <c r="AI33" s="908">
        <f>Parameters!S134</f>
        <v>0.71500000000000008</v>
      </c>
      <c r="AJ33" s="908">
        <f t="shared" si="17"/>
        <v>0.4</v>
      </c>
      <c r="AK33" s="906">
        <f t="shared" si="18"/>
        <v>328.02604883987453</v>
      </c>
      <c r="AL33" s="906">
        <f t="shared" si="19"/>
        <v>328.02604883987453</v>
      </c>
      <c r="AM33" s="286">
        <f t="shared" si="20"/>
        <v>0</v>
      </c>
      <c r="AN33" s="906">
        <f t="shared" si="21"/>
        <v>878.97014836368112</v>
      </c>
      <c r="AO33" s="906">
        <f t="shared" si="22"/>
        <v>28.247508024486862</v>
      </c>
      <c r="AP33" s="915">
        <f t="shared" si="23"/>
        <v>18.831672016324575</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18.831672016324575</v>
      </c>
      <c r="BD33" s="1080">
        <f t="shared" si="33"/>
        <v>0</v>
      </c>
      <c r="BE33" s="301">
        <f t="shared" si="34"/>
        <v>62.066662898982408</v>
      </c>
      <c r="BF33" s="104">
        <v>0</v>
      </c>
      <c r="BG33" s="302">
        <f t="shared" si="35"/>
        <v>62.066662898982408</v>
      </c>
      <c r="BI33" s="300">
        <f t="shared" si="36"/>
        <v>43.234990882657833</v>
      </c>
      <c r="BJ33" s="301">
        <f t="shared" si="37"/>
        <v>18.831672016324575</v>
      </c>
      <c r="BK33" s="1080">
        <f t="shared" si="38"/>
        <v>0</v>
      </c>
      <c r="BL33" s="301">
        <f t="shared" si="39"/>
        <v>62.066662898982408</v>
      </c>
      <c r="BM33" s="104">
        <v>0</v>
      </c>
      <c r="BN33" s="302">
        <f t="shared" si="40"/>
        <v>62.066662898982408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2476.0181883580972</v>
      </c>
      <c r="Y34" s="908">
        <f>Parameters!S135</f>
        <v>0.71500000000000008</v>
      </c>
      <c r="Z34" s="908">
        <f t="shared" si="9"/>
        <v>0.4</v>
      </c>
      <c r="AA34" s="906">
        <f t="shared" si="10"/>
        <v>354.07060093520795</v>
      </c>
      <c r="AB34" s="906">
        <f t="shared" si="11"/>
        <v>354.07060093520795</v>
      </c>
      <c r="AC34" s="286">
        <f t="shared" si="12"/>
        <v>0</v>
      </c>
      <c r="AD34" s="906">
        <f t="shared" si="13"/>
        <v>1190.1728693164996</v>
      </c>
      <c r="AE34" s="906">
        <f t="shared" si="14"/>
        <v>42.86787998238951</v>
      </c>
      <c r="AF34" s="915">
        <f t="shared" si="15"/>
        <v>28.57858665492634</v>
      </c>
      <c r="AG34" s="1450">
        <f t="shared" si="16"/>
        <v>0.13527885904981399</v>
      </c>
      <c r="AH34" s="914">
        <f>'Baseline data (from input)'!AS20*AG34</f>
        <v>2476.0181883580972</v>
      </c>
      <c r="AI34" s="908">
        <f>Parameters!S135</f>
        <v>0.71500000000000008</v>
      </c>
      <c r="AJ34" s="908">
        <f t="shared" si="17"/>
        <v>0.4</v>
      </c>
      <c r="AK34" s="906">
        <f t="shared" si="18"/>
        <v>354.07060093520795</v>
      </c>
      <c r="AL34" s="906">
        <f t="shared" si="19"/>
        <v>354.07060093520795</v>
      </c>
      <c r="AM34" s="286">
        <f t="shared" si="20"/>
        <v>0</v>
      </c>
      <c r="AN34" s="906">
        <f t="shared" si="21"/>
        <v>1190.1728693164996</v>
      </c>
      <c r="AO34" s="906">
        <f t="shared" si="22"/>
        <v>42.86787998238951</v>
      </c>
      <c r="AP34" s="915">
        <f t="shared" si="23"/>
        <v>28.57858665492634</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28.57858665492634</v>
      </c>
      <c r="BD34" s="1080">
        <f t="shared" si="33"/>
        <v>0</v>
      </c>
      <c r="BE34" s="301">
        <f t="shared" si="34"/>
        <v>75.041973752294751</v>
      </c>
      <c r="BF34" s="104">
        <v>0</v>
      </c>
      <c r="BG34" s="302">
        <f t="shared" si="35"/>
        <v>75.041973752294751</v>
      </c>
      <c r="BI34" s="300">
        <f t="shared" si="36"/>
        <v>46.463387097368418</v>
      </c>
      <c r="BJ34" s="301">
        <f t="shared" si="37"/>
        <v>28.57858665492634</v>
      </c>
      <c r="BK34" s="1080">
        <f t="shared" si="38"/>
        <v>0</v>
      </c>
      <c r="BL34" s="301">
        <f t="shared" si="39"/>
        <v>75.041973752294751</v>
      </c>
      <c r="BM34" s="104">
        <v>0</v>
      </c>
      <c r="BN34" s="302">
        <f t="shared" si="40"/>
        <v>75.041973752294751</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2627.6188600642822</v>
      </c>
      <c r="Y35" s="908">
        <f>Parameters!S136</f>
        <v>0.71500000000000008</v>
      </c>
      <c r="Z35" s="908">
        <f t="shared" si="9"/>
        <v>0.4</v>
      </c>
      <c r="AA35" s="906">
        <f t="shared" si="10"/>
        <v>375.74949698919244</v>
      </c>
      <c r="AB35" s="906">
        <f t="shared" si="11"/>
        <v>375.74949698919244</v>
      </c>
      <c r="AC35" s="286">
        <f t="shared" si="12"/>
        <v>0</v>
      </c>
      <c r="AD35" s="906">
        <f t="shared" si="13"/>
        <v>1507.87695052549</v>
      </c>
      <c r="AE35" s="906">
        <f t="shared" si="14"/>
        <v>58.045415780202177</v>
      </c>
      <c r="AF35" s="915">
        <f t="shared" si="15"/>
        <v>38.69694385346812</v>
      </c>
      <c r="AG35" s="1450">
        <f t="shared" si="16"/>
        <v>0.13527885904981399</v>
      </c>
      <c r="AH35" s="914">
        <f>'Baseline data (from input)'!AS21*AG35</f>
        <v>2627.6188600642822</v>
      </c>
      <c r="AI35" s="908">
        <f>Parameters!S136</f>
        <v>0.71500000000000008</v>
      </c>
      <c r="AJ35" s="908">
        <f t="shared" si="17"/>
        <v>0.4</v>
      </c>
      <c r="AK35" s="906">
        <f t="shared" si="18"/>
        <v>375.74949698919244</v>
      </c>
      <c r="AL35" s="906">
        <f t="shared" si="19"/>
        <v>375.74949698919244</v>
      </c>
      <c r="AM35" s="286">
        <f t="shared" si="20"/>
        <v>0</v>
      </c>
      <c r="AN35" s="906">
        <f t="shared" si="21"/>
        <v>1507.87695052549</v>
      </c>
      <c r="AO35" s="906">
        <f t="shared" si="22"/>
        <v>58.045415780202177</v>
      </c>
      <c r="AP35" s="915">
        <f t="shared" si="23"/>
        <v>38.69694385346812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38.69694385346812</v>
      </c>
      <c r="BD35" s="1080">
        <f t="shared" si="33"/>
        <v>0</v>
      </c>
      <c r="BE35" s="301">
        <f t="shared" si="34"/>
        <v>88.367744856685505</v>
      </c>
      <c r="BF35" s="104">
        <v>0</v>
      </c>
      <c r="BG35" s="302">
        <f t="shared" si="35"/>
        <v>88.367744856685505</v>
      </c>
      <c r="BI35" s="300">
        <f t="shared" si="36"/>
        <v>49.670801003217377</v>
      </c>
      <c r="BJ35" s="301">
        <f t="shared" si="37"/>
        <v>38.69694385346812</v>
      </c>
      <c r="BK35" s="1080">
        <f t="shared" si="38"/>
        <v>0</v>
      </c>
      <c r="BL35" s="301">
        <f t="shared" si="39"/>
        <v>88.367744856685505</v>
      </c>
      <c r="BM35" s="104">
        <v>0</v>
      </c>
      <c r="BN35" s="302">
        <f t="shared" si="40"/>
        <v>88.367744856685505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2744.2406851557662</v>
      </c>
      <c r="Y36" s="908">
        <f>Parameters!S137</f>
        <v>0.71500000000000008</v>
      </c>
      <c r="Z36" s="908">
        <f t="shared" si="9"/>
        <v>0.4</v>
      </c>
      <c r="AA36" s="906">
        <f t="shared" si="10"/>
        <v>392.42641797727458</v>
      </c>
      <c r="AB36" s="906">
        <f t="shared" si="11"/>
        <v>392.42641797727458</v>
      </c>
      <c r="AC36" s="286">
        <f t="shared" si="12"/>
        <v>0</v>
      </c>
      <c r="AD36" s="906">
        <f t="shared" si="13"/>
        <v>1826.763341843528</v>
      </c>
      <c r="AE36" s="906">
        <f t="shared" si="14"/>
        <v>73.540026659236531</v>
      </c>
      <c r="AF36" s="915">
        <f t="shared" si="15"/>
        <v>49.026684439491021</v>
      </c>
      <c r="AG36" s="1450">
        <f t="shared" si="16"/>
        <v>0.13527885904981399</v>
      </c>
      <c r="AH36" s="914">
        <f>'Baseline data (from input)'!AS22*AG36</f>
        <v>2744.2406851557662</v>
      </c>
      <c r="AI36" s="908">
        <f>Parameters!S137</f>
        <v>0.71500000000000008</v>
      </c>
      <c r="AJ36" s="908">
        <f t="shared" si="17"/>
        <v>0.4</v>
      </c>
      <c r="AK36" s="906">
        <f t="shared" si="18"/>
        <v>392.42641797727458</v>
      </c>
      <c r="AL36" s="906">
        <f t="shared" si="19"/>
        <v>392.42641797727458</v>
      </c>
      <c r="AM36" s="286">
        <f t="shared" si="20"/>
        <v>0</v>
      </c>
      <c r="AN36" s="906">
        <f t="shared" si="21"/>
        <v>1826.763341843528</v>
      </c>
      <c r="AO36" s="906">
        <f t="shared" si="22"/>
        <v>73.540026659236531</v>
      </c>
      <c r="AP36" s="915">
        <f t="shared" si="23"/>
        <v>49.026684439491021</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49.026684439491021</v>
      </c>
      <c r="BD36" s="1080">
        <f t="shared" si="33"/>
        <v>0</v>
      </c>
      <c r="BE36" s="301">
        <f t="shared" si="34"/>
        <v>101.88494035897421</v>
      </c>
      <c r="BF36" s="104">
        <v>0</v>
      </c>
      <c r="BG36" s="302">
        <f t="shared" si="35"/>
        <v>101.88494035897421</v>
      </c>
      <c r="BI36" s="300">
        <f t="shared" si="36"/>
        <v>52.858255919483177</v>
      </c>
      <c r="BJ36" s="301">
        <f t="shared" si="37"/>
        <v>49.026684439491021</v>
      </c>
      <c r="BK36" s="1080">
        <f t="shared" si="38"/>
        <v>0</v>
      </c>
      <c r="BL36" s="301">
        <f t="shared" si="39"/>
        <v>101.88494035897421</v>
      </c>
      <c r="BM36" s="104">
        <v>0</v>
      </c>
      <c r="BN36" s="302">
        <f t="shared" si="40"/>
        <v>101.88494035897421</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2941.7320500668197</v>
      </c>
      <c r="Y37" s="908">
        <f>Parameters!S138</f>
        <v>0.71500000000000008</v>
      </c>
      <c r="Z37" s="908">
        <f t="shared" si="9"/>
        <v>0.4</v>
      </c>
      <c r="AA37" s="906">
        <f t="shared" si="10"/>
        <v>420.66768315955528</v>
      </c>
      <c r="AB37" s="906">
        <f t="shared" si="11"/>
        <v>420.66768315955528</v>
      </c>
      <c r="AC37" s="286">
        <f t="shared" si="12"/>
        <v>0</v>
      </c>
      <c r="AD37" s="906">
        <f t="shared" si="13"/>
        <v>2158.3387255203752</v>
      </c>
      <c r="AE37" s="906">
        <f t="shared" si="14"/>
        <v>89.092299482707759</v>
      </c>
      <c r="AF37" s="915">
        <f t="shared" si="15"/>
        <v>59.394866321805175</v>
      </c>
      <c r="AG37" s="1450">
        <f t="shared" si="16"/>
        <v>0.13527885904981399</v>
      </c>
      <c r="AH37" s="914">
        <f>'Baseline data (from input)'!AS23*AG37</f>
        <v>2941.7320500668197</v>
      </c>
      <c r="AI37" s="908">
        <f>Parameters!S138</f>
        <v>0.71500000000000008</v>
      </c>
      <c r="AJ37" s="908">
        <f t="shared" si="17"/>
        <v>0.4</v>
      </c>
      <c r="AK37" s="906">
        <f t="shared" si="18"/>
        <v>420.66768315955528</v>
      </c>
      <c r="AL37" s="906">
        <f t="shared" si="19"/>
        <v>420.66768315955528</v>
      </c>
      <c r="AM37" s="286">
        <f t="shared" si="20"/>
        <v>0</v>
      </c>
      <c r="AN37" s="906">
        <f t="shared" si="21"/>
        <v>2158.3387255203752</v>
      </c>
      <c r="AO37" s="906">
        <f t="shared" si="22"/>
        <v>89.092299482707759</v>
      </c>
      <c r="AP37" s="915">
        <f t="shared" si="23"/>
        <v>59.394866321805175</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59.394866321805175</v>
      </c>
      <c r="BD37" s="1080">
        <f t="shared" si="33"/>
        <v>0</v>
      </c>
      <c r="BE37" s="301">
        <f t="shared" si="34"/>
        <v>115.46139838620192</v>
      </c>
      <c r="BF37" s="104">
        <v>0</v>
      </c>
      <c r="BG37" s="302">
        <f t="shared" si="35"/>
        <v>115.46139838620192</v>
      </c>
      <c r="BI37" s="300">
        <f t="shared" si="36"/>
        <v>56.066532064396746</v>
      </c>
      <c r="BJ37" s="301">
        <f t="shared" si="37"/>
        <v>59.394866321805175</v>
      </c>
      <c r="BK37" s="1080">
        <f t="shared" si="38"/>
        <v>0</v>
      </c>
      <c r="BL37" s="301">
        <f t="shared" si="39"/>
        <v>115.46139838620192</v>
      </c>
      <c r="BM37" s="104">
        <v>0</v>
      </c>
      <c r="BN37" s="302">
        <f t="shared" si="40"/>
        <v>115.46139838620192</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3063.9152673420963</v>
      </c>
      <c r="Y38" s="908">
        <f>Parameters!S139</f>
        <v>0.71500000000000008</v>
      </c>
      <c r="Z38" s="908">
        <f t="shared" si="9"/>
        <v>0.4</v>
      </c>
      <c r="AA38" s="906">
        <f t="shared" si="10"/>
        <v>438.13988322991986</v>
      </c>
      <c r="AB38" s="906">
        <f t="shared" si="11"/>
        <v>438.13988322991986</v>
      </c>
      <c r="AC38" s="286">
        <f t="shared" si="12"/>
        <v>0</v>
      </c>
      <c r="AD38" s="906">
        <f t="shared" si="13"/>
        <v>2491.215186984271</v>
      </c>
      <c r="AE38" s="906">
        <f t="shared" si="14"/>
        <v>105.26342176602415</v>
      </c>
      <c r="AF38" s="915">
        <f t="shared" si="15"/>
        <v>70.175614510682763</v>
      </c>
      <c r="AG38" s="1450">
        <f t="shared" si="16"/>
        <v>0.13527885904981399</v>
      </c>
      <c r="AH38" s="914">
        <f>'Baseline data (from input)'!AS24*AG38</f>
        <v>3063.9152673420963</v>
      </c>
      <c r="AI38" s="908">
        <f>Parameters!S139</f>
        <v>0.71500000000000008</v>
      </c>
      <c r="AJ38" s="908">
        <f t="shared" si="17"/>
        <v>0.4</v>
      </c>
      <c r="AK38" s="906">
        <f t="shared" si="18"/>
        <v>438.13988322991986</v>
      </c>
      <c r="AL38" s="906">
        <f t="shared" si="19"/>
        <v>438.13988322991986</v>
      </c>
      <c r="AM38" s="286">
        <f t="shared" si="20"/>
        <v>0</v>
      </c>
      <c r="AN38" s="906">
        <f t="shared" si="21"/>
        <v>2491.215186984271</v>
      </c>
      <c r="AO38" s="906">
        <f t="shared" si="22"/>
        <v>105.26342176602415</v>
      </c>
      <c r="AP38" s="915">
        <f t="shared" si="23"/>
        <v>70.175614510682763</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70.175614510682763</v>
      </c>
      <c r="BD38" s="1080">
        <f t="shared" si="33"/>
        <v>0</v>
      </c>
      <c r="BE38" s="301">
        <f t="shared" si="34"/>
        <v>129.47209111618903</v>
      </c>
      <c r="BF38" s="104">
        <v>0</v>
      </c>
      <c r="BG38" s="302">
        <f t="shared" si="35"/>
        <v>129.47209111618903</v>
      </c>
      <c r="BI38" s="300">
        <f t="shared" si="36"/>
        <v>59.296476605506278</v>
      </c>
      <c r="BJ38" s="301">
        <f t="shared" si="37"/>
        <v>70.175614510682763</v>
      </c>
      <c r="BK38" s="1080">
        <f t="shared" si="38"/>
        <v>0</v>
      </c>
      <c r="BL38" s="301">
        <f t="shared" si="39"/>
        <v>129.47209111618903</v>
      </c>
      <c r="BM38" s="104">
        <v>0</v>
      </c>
      <c r="BN38" s="302">
        <f t="shared" si="40"/>
        <v>129.47209111618903</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3208.4043213532386</v>
      </c>
      <c r="Y39" s="908">
        <f>Parameters!S140</f>
        <v>0.71500000000000008</v>
      </c>
      <c r="Z39" s="908">
        <f t="shared" si="9"/>
        <v>0.4</v>
      </c>
      <c r="AA39" s="906">
        <f t="shared" si="10"/>
        <v>458.80181795351325</v>
      </c>
      <c r="AB39" s="906">
        <f t="shared" si="11"/>
        <v>458.80181795351325</v>
      </c>
      <c r="AC39" s="286">
        <f t="shared" si="12"/>
        <v>0</v>
      </c>
      <c r="AD39" s="906">
        <f t="shared" si="13"/>
        <v>2828.5190065760003</v>
      </c>
      <c r="AE39" s="906">
        <f t="shared" si="14"/>
        <v>121.49799836178424</v>
      </c>
      <c r="AF39" s="915">
        <f t="shared" si="15"/>
        <v>80.998665574522832</v>
      </c>
      <c r="AG39" s="1450">
        <f t="shared" si="16"/>
        <v>0.13527885904981399</v>
      </c>
      <c r="AH39" s="914">
        <f>'Baseline data (from input)'!AS25*AG39</f>
        <v>3208.4043213532386</v>
      </c>
      <c r="AI39" s="908">
        <f>Parameters!S140</f>
        <v>0.71500000000000008</v>
      </c>
      <c r="AJ39" s="908">
        <f t="shared" si="17"/>
        <v>0.4</v>
      </c>
      <c r="AK39" s="906">
        <f t="shared" si="18"/>
        <v>458.80181795351325</v>
      </c>
      <c r="AL39" s="906">
        <f t="shared" si="19"/>
        <v>458.80181795351325</v>
      </c>
      <c r="AM39" s="286">
        <f t="shared" si="20"/>
        <v>0</v>
      </c>
      <c r="AN39" s="906">
        <f t="shared" si="21"/>
        <v>2828.5190065760003</v>
      </c>
      <c r="AO39" s="906">
        <f t="shared" si="22"/>
        <v>121.49799836178424</v>
      </c>
      <c r="AP39" s="915">
        <f t="shared" si="23"/>
        <v>80.998665574522832</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80.998665574522832</v>
      </c>
      <c r="BD39" s="1080">
        <f t="shared" si="33"/>
        <v>0</v>
      </c>
      <c r="BE39" s="301">
        <f t="shared" si="34"/>
        <v>143.54699470897799</v>
      </c>
      <c r="BF39" s="104">
        <v>0</v>
      </c>
      <c r="BG39" s="302">
        <f t="shared" si="35"/>
        <v>143.54699470897799</v>
      </c>
      <c r="BI39" s="300">
        <f t="shared" si="36"/>
        <v>62.548329134455173</v>
      </c>
      <c r="BJ39" s="301">
        <f t="shared" si="37"/>
        <v>80.998665574522832</v>
      </c>
      <c r="BK39" s="1080">
        <f t="shared" si="38"/>
        <v>0</v>
      </c>
      <c r="BL39" s="301">
        <f t="shared" si="39"/>
        <v>143.54699470897799</v>
      </c>
      <c r="BM39" s="104">
        <v>0</v>
      </c>
      <c r="BN39" s="302">
        <f t="shared" si="40"/>
        <v>143.54699470897799</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3376.8030091143287</v>
      </c>
      <c r="Y40" s="908">
        <f>Parameters!S141</f>
        <v>0.71500000000000008</v>
      </c>
      <c r="Z40" s="908">
        <f t="shared" si="9"/>
        <v>0.4</v>
      </c>
      <c r="AA40" s="906">
        <f t="shared" si="10"/>
        <v>482.88283030334907</v>
      </c>
      <c r="AB40" s="906">
        <f t="shared" si="11"/>
        <v>482.88283030334907</v>
      </c>
      <c r="AC40" s="286">
        <f t="shared" si="12"/>
        <v>0</v>
      </c>
      <c r="AD40" s="906">
        <f t="shared" si="13"/>
        <v>3173.4533371179691</v>
      </c>
      <c r="AE40" s="906">
        <f t="shared" si="14"/>
        <v>137.94849976138022</v>
      </c>
      <c r="AF40" s="915">
        <f t="shared" si="15"/>
        <v>91.965666507586818</v>
      </c>
      <c r="AG40" s="1450">
        <f t="shared" si="16"/>
        <v>0.13527885904981399</v>
      </c>
      <c r="AH40" s="914">
        <f>'Baseline data (from input)'!AS26*AG40</f>
        <v>3376.8030091143287</v>
      </c>
      <c r="AI40" s="908">
        <f>Parameters!S141</f>
        <v>0.71500000000000008</v>
      </c>
      <c r="AJ40" s="908">
        <f t="shared" si="17"/>
        <v>0.4</v>
      </c>
      <c r="AK40" s="906">
        <f t="shared" si="18"/>
        <v>482.88283030334907</v>
      </c>
      <c r="AL40" s="906">
        <f t="shared" si="19"/>
        <v>482.88283030334907</v>
      </c>
      <c r="AM40" s="286">
        <f t="shared" si="20"/>
        <v>0</v>
      </c>
      <c r="AN40" s="906">
        <f t="shared" si="21"/>
        <v>3173.4533371179691</v>
      </c>
      <c r="AO40" s="906">
        <f t="shared" si="22"/>
        <v>137.94849976138022</v>
      </c>
      <c r="AP40" s="915">
        <f t="shared" si="23"/>
        <v>91.965666507586818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91.965666507586818</v>
      </c>
      <c r="BD40" s="1080">
        <f t="shared" si="33"/>
        <v>0</v>
      </c>
      <c r="BE40" s="301">
        <f t="shared" si="34"/>
        <v>157.78798406545133</v>
      </c>
      <c r="BF40" s="104">
        <v>0</v>
      </c>
      <c r="BG40" s="302">
        <f t="shared" si="35"/>
        <v>157.78798406545133</v>
      </c>
      <c r="BI40" s="300">
        <f t="shared" si="36"/>
        <v>65.822317557864508</v>
      </c>
      <c r="BJ40" s="301">
        <f t="shared" si="37"/>
        <v>91.965666507586818</v>
      </c>
      <c r="BK40" s="1080">
        <f t="shared" si="38"/>
        <v>0</v>
      </c>
      <c r="BL40" s="301">
        <f t="shared" si="39"/>
        <v>157.78798406545133</v>
      </c>
      <c r="BM40" s="104">
        <v>0</v>
      </c>
      <c r="BN40" s="302">
        <f t="shared" si="40"/>
        <v>157.78798406545133</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3521.2954113199135</v>
      </c>
      <c r="Y41" s="908">
        <f>Parameters!S142</f>
        <v>0.71500000000000008</v>
      </c>
      <c r="Z41" s="908">
        <f t="shared" si="9"/>
        <v>0.4</v>
      </c>
      <c r="AA41" s="906">
        <f t="shared" si="10"/>
        <v>503.54524381874768</v>
      </c>
      <c r="AB41" s="906">
        <f t="shared" si="11"/>
        <v>503.54524381874768</v>
      </c>
      <c r="AC41" s="286">
        <f t="shared" si="12"/>
        <v>0</v>
      </c>
      <c r="AD41" s="906">
        <f t="shared" si="13"/>
        <v>3522.2274353653438</v>
      </c>
      <c r="AE41" s="906">
        <f t="shared" si="14"/>
        <v>154.77114557137295</v>
      </c>
      <c r="AF41" s="915">
        <f t="shared" si="15"/>
        <v>103.18076371424864</v>
      </c>
      <c r="AG41" s="1450">
        <f t="shared" si="16"/>
        <v>0.13527885904981399</v>
      </c>
      <c r="AH41" s="914">
        <f>'Baseline data (from input)'!AS27*AG41</f>
        <v>3521.2954113199135</v>
      </c>
      <c r="AI41" s="908">
        <f>Parameters!S142</f>
        <v>0.71500000000000008</v>
      </c>
      <c r="AJ41" s="908">
        <f t="shared" si="17"/>
        <v>0.4</v>
      </c>
      <c r="AK41" s="906">
        <f t="shared" si="18"/>
        <v>503.54524381874768</v>
      </c>
      <c r="AL41" s="906">
        <f t="shared" si="19"/>
        <v>503.54524381874768</v>
      </c>
      <c r="AM41" s="286">
        <f t="shared" si="20"/>
        <v>0</v>
      </c>
      <c r="AN41" s="906">
        <f t="shared" si="21"/>
        <v>3522.2274353653438</v>
      </c>
      <c r="AO41" s="906">
        <f t="shared" si="22"/>
        <v>154.77114557137295</v>
      </c>
      <c r="AP41" s="915">
        <f t="shared" si="23"/>
        <v>103.18076371424864</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103.18076371424864</v>
      </c>
      <c r="BD41" s="1080">
        <f t="shared" si="33"/>
        <v>0</v>
      </c>
      <c r="BE41" s="301">
        <f t="shared" si="34"/>
        <v>172.29942238146691</v>
      </c>
      <c r="BF41" s="104">
        <v>0</v>
      </c>
      <c r="BG41" s="302">
        <f t="shared" si="35"/>
        <v>172.29942238146691</v>
      </c>
      <c r="BI41" s="300">
        <f t="shared" si="36"/>
        <v>69.118658667218284</v>
      </c>
      <c r="BJ41" s="301">
        <f t="shared" si="37"/>
        <v>103.18076371424864</v>
      </c>
      <c r="BK41" s="1080">
        <f t="shared" si="38"/>
        <v>0</v>
      </c>
      <c r="BL41" s="301">
        <f t="shared" si="39"/>
        <v>172.29942238146691</v>
      </c>
      <c r="BM41" s="104">
        <v>0</v>
      </c>
      <c r="BN41" s="302">
        <f t="shared" si="40"/>
        <v>172.29942238146691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3579.5644711379095</v>
      </c>
      <c r="Y42" s="908">
        <f>Parameters!S143</f>
        <v>0.71500000000000008</v>
      </c>
      <c r="Z42" s="908">
        <f t="shared" si="9"/>
        <v>0.4</v>
      </c>
      <c r="AA42" s="906">
        <f t="shared" si="10"/>
        <v>511.87771937272117</v>
      </c>
      <c r="AB42" s="906">
        <f t="shared" si="11"/>
        <v>511.87771937272117</v>
      </c>
      <c r="AC42" s="286">
        <f t="shared" si="12"/>
        <v>0</v>
      </c>
      <c r="AD42" s="906">
        <f t="shared" si="13"/>
        <v>3862.3240956759228</v>
      </c>
      <c r="AE42" s="906">
        <f t="shared" si="14"/>
        <v>171.78105906214194</v>
      </c>
      <c r="AF42" s="915">
        <f t="shared" si="15"/>
        <v>114.52070604142796</v>
      </c>
      <c r="AG42" s="1450">
        <f t="shared" si="16"/>
        <v>0.13527885904981399</v>
      </c>
      <c r="AH42" s="914">
        <f>'Baseline data (from input)'!AS28*AG42</f>
        <v>3579.5644711379095</v>
      </c>
      <c r="AI42" s="908">
        <f>Parameters!S143</f>
        <v>0.71500000000000008</v>
      </c>
      <c r="AJ42" s="908">
        <f t="shared" si="17"/>
        <v>0.4</v>
      </c>
      <c r="AK42" s="906">
        <f t="shared" si="18"/>
        <v>511.87771937272117</v>
      </c>
      <c r="AL42" s="906">
        <f t="shared" si="19"/>
        <v>511.87771937272117</v>
      </c>
      <c r="AM42" s="286">
        <f t="shared" si="20"/>
        <v>0</v>
      </c>
      <c r="AN42" s="906">
        <f t="shared" si="21"/>
        <v>3862.3240956759228</v>
      </c>
      <c r="AO42" s="906">
        <f t="shared" si="22"/>
        <v>171.78105906214194</v>
      </c>
      <c r="AP42" s="915">
        <f t="shared" si="23"/>
        <v>114.52070604142796</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114.52070604142796</v>
      </c>
      <c r="BD42" s="1080">
        <f t="shared" si="33"/>
        <v>0</v>
      </c>
      <c r="BE42" s="301">
        <f t="shared" si="34"/>
        <v>193.88392622560946</v>
      </c>
      <c r="BF42" s="104">
        <v>0</v>
      </c>
      <c r="BG42" s="302">
        <f t="shared" si="35"/>
        <v>193.88392622560946</v>
      </c>
      <c r="BI42" s="300">
        <f t="shared" si="36"/>
        <v>79.363220184181515</v>
      </c>
      <c r="BJ42" s="301">
        <f t="shared" si="37"/>
        <v>114.52070604142796</v>
      </c>
      <c r="BK42" s="1080">
        <f t="shared" si="38"/>
        <v>0</v>
      </c>
      <c r="BL42" s="301">
        <f t="shared" si="39"/>
        <v>193.88392622560946</v>
      </c>
      <c r="BM42" s="104">
        <v>0</v>
      </c>
      <c r="BN42" s="302">
        <f t="shared" si="40"/>
        <v>193.88392622560946</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3743.2220804016683</v>
      </c>
      <c r="Y43" s="908">
        <f>Parameters!S144</f>
        <v>0.71500000000000008</v>
      </c>
      <c r="Z43" s="908">
        <f t="shared" si="9"/>
        <v>0.4</v>
      </c>
      <c r="AA43" s="906">
        <f t="shared" si="10"/>
        <v>535.28075749743869</v>
      </c>
      <c r="AB43" s="906">
        <f t="shared" si="11"/>
        <v>535.28075749743869</v>
      </c>
      <c r="AC43" s="286">
        <f t="shared" si="12"/>
        <v>0</v>
      </c>
      <c r="AD43" s="906">
        <f t="shared" si="13"/>
        <v>4209.2370842624878</v>
      </c>
      <c r="AE43" s="906">
        <f t="shared" si="14"/>
        <v>188.36776891087405</v>
      </c>
      <c r="AF43" s="915">
        <f t="shared" si="15"/>
        <v>125.57851260724937</v>
      </c>
      <c r="AG43" s="1450">
        <f t="shared" si="16"/>
        <v>0.13527885904981399</v>
      </c>
      <c r="AH43" s="914">
        <f>'Baseline data (from input)'!AS29*AG43</f>
        <v>3743.2220804016683</v>
      </c>
      <c r="AI43" s="908">
        <f>Parameters!S144</f>
        <v>0.71500000000000008</v>
      </c>
      <c r="AJ43" s="908">
        <f t="shared" si="17"/>
        <v>0.4</v>
      </c>
      <c r="AK43" s="906">
        <f t="shared" si="18"/>
        <v>535.28075749743869</v>
      </c>
      <c r="AL43" s="906">
        <f t="shared" si="19"/>
        <v>535.28075749743869</v>
      </c>
      <c r="AM43" s="286">
        <f t="shared" si="20"/>
        <v>0</v>
      </c>
      <c r="AN43" s="906">
        <f t="shared" si="21"/>
        <v>4209.2370842624878</v>
      </c>
      <c r="AO43" s="906">
        <f t="shared" si="22"/>
        <v>188.36776891087405</v>
      </c>
      <c r="AP43" s="915">
        <f t="shared" si="23"/>
        <v>125.57851260724937</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125.57851260724937</v>
      </c>
      <c r="BD43" s="1080">
        <f t="shared" si="33"/>
        <v>0</v>
      </c>
      <c r="BE43" s="301">
        <f t="shared" si="34"/>
        <v>215.00232045097016</v>
      </c>
      <c r="BF43" s="104">
        <v>0</v>
      </c>
      <c r="BG43" s="302">
        <f t="shared" si="35"/>
        <v>215.00232045097016</v>
      </c>
      <c r="BI43" s="300">
        <f t="shared" si="36"/>
        <v>89.42380784372078</v>
      </c>
      <c r="BJ43" s="301">
        <f t="shared" si="37"/>
        <v>125.57851260724937</v>
      </c>
      <c r="BK43" s="1080">
        <f t="shared" si="38"/>
        <v>0</v>
      </c>
      <c r="BL43" s="301">
        <f t="shared" si="39"/>
        <v>215.00232045097016</v>
      </c>
      <c r="BM43" s="104">
        <v>0</v>
      </c>
      <c r="BN43" s="302">
        <f t="shared" si="40"/>
        <v>215.00232045097016</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3971.9724203311926</v>
      </c>
      <c r="Y44" s="908">
        <f>Parameters!S145</f>
        <v>0.71500000000000008</v>
      </c>
      <c r="Z44" s="908">
        <f t="shared" si="9"/>
        <v>0.4</v>
      </c>
      <c r="AA44" s="906">
        <f t="shared" si="10"/>
        <v>567.99205610736067</v>
      </c>
      <c r="AB44" s="906">
        <f t="shared" si="11"/>
        <v>567.99205610736067</v>
      </c>
      <c r="AC44" s="286">
        <f t="shared" si="12"/>
        <v>0</v>
      </c>
      <c r="AD44" s="906">
        <f t="shared" si="13"/>
        <v>4571.9422253574303</v>
      </c>
      <c r="AE44" s="906">
        <f t="shared" si="14"/>
        <v>205.28691501241806</v>
      </c>
      <c r="AF44" s="915">
        <f t="shared" si="15"/>
        <v>136.85794334161204</v>
      </c>
      <c r="AG44" s="1450">
        <f t="shared" si="16"/>
        <v>0.13527885904981399</v>
      </c>
      <c r="AH44" s="914">
        <f>'Baseline data (from input)'!AS30*AG44</f>
        <v>3971.9724203311926</v>
      </c>
      <c r="AI44" s="908">
        <f>Parameters!S145</f>
        <v>0.71500000000000008</v>
      </c>
      <c r="AJ44" s="908">
        <f t="shared" si="17"/>
        <v>0.4</v>
      </c>
      <c r="AK44" s="906">
        <f t="shared" si="18"/>
        <v>567.99205610736067</v>
      </c>
      <c r="AL44" s="906">
        <f t="shared" si="19"/>
        <v>567.99205610736067</v>
      </c>
      <c r="AM44" s="286">
        <f t="shared" si="20"/>
        <v>0</v>
      </c>
      <c r="AN44" s="906">
        <f t="shared" si="21"/>
        <v>4571.9422253574303</v>
      </c>
      <c r="AO44" s="906">
        <f t="shared" si="22"/>
        <v>205.28691501241806</v>
      </c>
      <c r="AP44" s="915">
        <f t="shared" si="23"/>
        <v>136.85794334161204</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136.85794334161204</v>
      </c>
      <c r="BD44" s="1080">
        <f t="shared" si="33"/>
        <v>0</v>
      </c>
      <c r="BE44" s="301">
        <f t="shared" si="34"/>
        <v>236.17095191785722</v>
      </c>
      <c r="BF44" s="104">
        <v>0</v>
      </c>
      <c r="BG44" s="302">
        <f t="shared" si="35"/>
        <v>236.17095191785722</v>
      </c>
      <c r="BI44" s="300">
        <f t="shared" si="36"/>
        <v>99.313008576245181</v>
      </c>
      <c r="BJ44" s="301">
        <f t="shared" si="37"/>
        <v>136.85794334161204</v>
      </c>
      <c r="BK44" s="1080">
        <f t="shared" si="38"/>
        <v>0</v>
      </c>
      <c r="BL44" s="301">
        <f t="shared" si="39"/>
        <v>236.17095191785722</v>
      </c>
      <c r="BM44" s="104">
        <v>0</v>
      </c>
      <c r="BN44" s="302">
        <f t="shared" si="40"/>
        <v>236.17095191785722</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4039.3151543226409</v>
      </c>
      <c r="Y45" s="908">
        <f>Parameters!S146</f>
        <v>0.71500000000000008</v>
      </c>
      <c r="Z45" s="908">
        <f t="shared" si="9"/>
        <v>0.4</v>
      </c>
      <c r="AA45" s="906">
        <f t="shared" si="10"/>
        <v>577.62206706813777</v>
      </c>
      <c r="AB45" s="906">
        <f t="shared" si="11"/>
        <v>577.62206706813777</v>
      </c>
      <c r="AC45" s="286">
        <f t="shared" si="12"/>
        <v>0</v>
      </c>
      <c r="AD45" s="906">
        <f t="shared" si="13"/>
        <v>4926.5880389453996</v>
      </c>
      <c r="AE45" s="906">
        <f t="shared" si="14"/>
        <v>222.97625348016814</v>
      </c>
      <c r="AF45" s="915">
        <f t="shared" si="15"/>
        <v>148.65083565344543</v>
      </c>
      <c r="AG45" s="1450">
        <f t="shared" si="16"/>
        <v>0.13527885904981399</v>
      </c>
      <c r="AH45" s="914">
        <f>'Baseline data (from input)'!AS31*AG45</f>
        <v>4039.3151543226409</v>
      </c>
      <c r="AI45" s="908">
        <f>Parameters!S146</f>
        <v>0.71500000000000008</v>
      </c>
      <c r="AJ45" s="908">
        <f t="shared" si="17"/>
        <v>0.4</v>
      </c>
      <c r="AK45" s="906">
        <f t="shared" si="18"/>
        <v>577.62206706813777</v>
      </c>
      <c r="AL45" s="906">
        <f t="shared" si="19"/>
        <v>577.62206706813777</v>
      </c>
      <c r="AM45" s="286">
        <f t="shared" si="20"/>
        <v>0</v>
      </c>
      <c r="AN45" s="906">
        <f t="shared" si="21"/>
        <v>4926.5880389453996</v>
      </c>
      <c r="AO45" s="906">
        <f t="shared" si="22"/>
        <v>222.97625348016814</v>
      </c>
      <c r="AP45" s="915">
        <f t="shared" si="23"/>
        <v>148.65083565344543</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148.65083565344543</v>
      </c>
      <c r="BD45" s="1080">
        <f t="shared" si="33"/>
        <v>0</v>
      </c>
      <c r="BE45" s="301">
        <f t="shared" si="34"/>
        <v>257.69242628726749</v>
      </c>
      <c r="BF45" s="104">
        <v>0</v>
      </c>
      <c r="BG45" s="302">
        <f t="shared" si="35"/>
        <v>257.69242628726749</v>
      </c>
      <c r="BI45" s="300">
        <f t="shared" si="36"/>
        <v>109.04159063382205</v>
      </c>
      <c r="BJ45" s="301">
        <f t="shared" si="37"/>
        <v>148.65083565344543</v>
      </c>
      <c r="BK45" s="1080">
        <f t="shared" si="38"/>
        <v>0</v>
      </c>
      <c r="BL45" s="301">
        <f t="shared" si="39"/>
        <v>257.69242628726749</v>
      </c>
      <c r="BM45" s="104">
        <v>0</v>
      </c>
      <c r="BN45" s="302">
        <f t="shared" si="40"/>
        <v>257.69242628726749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4130.1958697335822</v>
      </c>
      <c r="Y46" s="908">
        <f>Parameters!S147</f>
        <v>0.71500000000000008</v>
      </c>
      <c r="Z46" s="908">
        <f t="shared" si="9"/>
        <v>0.4</v>
      </c>
      <c r="AA46" s="906">
        <f t="shared" si="10"/>
        <v>590.6180093719023</v>
      </c>
      <c r="AB46" s="906">
        <f t="shared" si="11"/>
        <v>590.6180093719023</v>
      </c>
      <c r="AC46" s="286">
        <f t="shared" si="12"/>
        <v>0</v>
      </c>
      <c r="AD46" s="906">
        <f t="shared" si="13"/>
        <v>5276.933514410036</v>
      </c>
      <c r="AE46" s="906">
        <f t="shared" si="14"/>
        <v>240.27253390726588</v>
      </c>
      <c r="AF46" s="915">
        <f t="shared" si="15"/>
        <v>160.18168927151058</v>
      </c>
      <c r="AG46" s="1450">
        <f t="shared" si="16"/>
        <v>0.13527885904981399</v>
      </c>
      <c r="AH46" s="914">
        <f>'Baseline data (from input)'!AS32*AG46</f>
        <v>4130.1958697335822</v>
      </c>
      <c r="AI46" s="908">
        <f>Parameters!S147</f>
        <v>0.71500000000000008</v>
      </c>
      <c r="AJ46" s="908">
        <f t="shared" si="17"/>
        <v>0.4</v>
      </c>
      <c r="AK46" s="906">
        <f t="shared" si="18"/>
        <v>590.6180093719023</v>
      </c>
      <c r="AL46" s="906">
        <f t="shared" si="19"/>
        <v>590.6180093719023</v>
      </c>
      <c r="AM46" s="286">
        <f t="shared" si="20"/>
        <v>0</v>
      </c>
      <c r="AN46" s="906">
        <f t="shared" si="21"/>
        <v>5276.933514410036</v>
      </c>
      <c r="AO46" s="906">
        <f t="shared" si="22"/>
        <v>240.27253390726588</v>
      </c>
      <c r="AP46" s="915">
        <f t="shared" si="23"/>
        <v>160.18168927151058</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160.18168927151058</v>
      </c>
      <c r="BD46" s="1080">
        <f t="shared" si="33"/>
        <v>0</v>
      </c>
      <c r="BE46" s="301">
        <f t="shared" si="34"/>
        <v>278.80148636617889</v>
      </c>
      <c r="BF46" s="104">
        <v>0</v>
      </c>
      <c r="BG46" s="302">
        <f t="shared" si="35"/>
        <v>278.80148636617889</v>
      </c>
      <c r="BI46" s="300">
        <f t="shared" si="36"/>
        <v>118.6197970946683</v>
      </c>
      <c r="BJ46" s="301">
        <f t="shared" si="37"/>
        <v>160.18168927151058</v>
      </c>
      <c r="BK46" s="1080">
        <f t="shared" si="38"/>
        <v>0</v>
      </c>
      <c r="BL46" s="301">
        <f t="shared" si="39"/>
        <v>278.80148636617889</v>
      </c>
      <c r="BM46" s="104">
        <v>0</v>
      </c>
      <c r="BN46" s="302">
        <f t="shared" si="40"/>
        <v>278.80148636617889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4126.3119353883139</v>
      </c>
      <c r="Y47" s="908">
        <f>Parameters!S148</f>
        <v>0.71500000000000008</v>
      </c>
      <c r="Z47" s="908">
        <f t="shared" si="9"/>
        <v>0.4</v>
      </c>
      <c r="AA47" s="906">
        <f t="shared" si="10"/>
        <v>590.06260676052898</v>
      </c>
      <c r="AB47" s="906">
        <f t="shared" si="11"/>
        <v>590.06260676052898</v>
      </c>
      <c r="AC47" s="286">
        <f t="shared" si="12"/>
        <v>0</v>
      </c>
      <c r="AD47" s="906">
        <f t="shared" si="13"/>
        <v>5609.6370368013177</v>
      </c>
      <c r="AE47" s="906">
        <f t="shared" si="14"/>
        <v>257.35908436924717</v>
      </c>
      <c r="AF47" s="915">
        <f t="shared" si="15"/>
        <v>171.57272291283144</v>
      </c>
      <c r="AG47" s="1450">
        <f t="shared" si="16"/>
        <v>0.13527885904981399</v>
      </c>
      <c r="AH47" s="914">
        <f>'Baseline data (from input)'!AS33*AG47</f>
        <v>4126.3119353883139</v>
      </c>
      <c r="AI47" s="908">
        <f>Parameters!S148</f>
        <v>0.71500000000000008</v>
      </c>
      <c r="AJ47" s="908">
        <f t="shared" si="17"/>
        <v>0.4</v>
      </c>
      <c r="AK47" s="906">
        <f t="shared" si="18"/>
        <v>590.06260676052898</v>
      </c>
      <c r="AL47" s="906">
        <f t="shared" si="19"/>
        <v>590.06260676052898</v>
      </c>
      <c r="AM47" s="286">
        <f t="shared" si="20"/>
        <v>0</v>
      </c>
      <c r="AN47" s="906">
        <f t="shared" si="21"/>
        <v>5609.6370368013177</v>
      </c>
      <c r="AO47" s="906">
        <f t="shared" si="22"/>
        <v>257.35908436924717</v>
      </c>
      <c r="AP47" s="915">
        <f t="shared" si="23"/>
        <v>171.57272291283144</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171.57272291283144</v>
      </c>
      <c r="BD47" s="1080">
        <f t="shared" si="33"/>
        <v>0</v>
      </c>
      <c r="BE47" s="301">
        <f t="shared" si="34"/>
        <v>299.62888958251085</v>
      </c>
      <c r="BF47" s="104">
        <v>0</v>
      </c>
      <c r="BG47" s="302">
        <f t="shared" si="35"/>
        <v>299.62888958251085</v>
      </c>
      <c r="BI47" s="300">
        <f t="shared" si="36"/>
        <v>128.05616666967944</v>
      </c>
      <c r="BJ47" s="301">
        <f t="shared" si="37"/>
        <v>171.57272291283144</v>
      </c>
      <c r="BK47" s="1080">
        <f t="shared" si="38"/>
        <v>0</v>
      </c>
      <c r="BL47" s="301">
        <f t="shared" si="39"/>
        <v>299.62888958251085</v>
      </c>
      <c r="BM47" s="104">
        <v>0</v>
      </c>
      <c r="BN47" s="302">
        <f t="shared" si="40"/>
        <v>299.62888958251085</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4250.7016291704967</v>
      </c>
      <c r="Y48" s="908">
        <f>Parameters!S149</f>
        <v>0.71500000000000008</v>
      </c>
      <c r="Z48" s="908">
        <f t="shared" si="9"/>
        <v>0.4</v>
      </c>
      <c r="AA48" s="906">
        <f t="shared" si="10"/>
        <v>607.85033297138114</v>
      </c>
      <c r="AB48" s="906">
        <f t="shared" si="11"/>
        <v>607.85033297138114</v>
      </c>
      <c r="AC48" s="286">
        <f t="shared" si="12"/>
        <v>0</v>
      </c>
      <c r="AD48" s="906">
        <f t="shared" si="13"/>
        <v>5943.9021431457895</v>
      </c>
      <c r="AE48" s="906">
        <f t="shared" si="14"/>
        <v>273.58522662690956</v>
      </c>
      <c r="AF48" s="915">
        <f t="shared" si="15"/>
        <v>182.39015108460637</v>
      </c>
      <c r="AG48" s="1450">
        <f t="shared" si="16"/>
        <v>0.13527885904981399</v>
      </c>
      <c r="AH48" s="914">
        <f>'Baseline data (from input)'!AS34*AG48</f>
        <v>4250.7016291704967</v>
      </c>
      <c r="AI48" s="908">
        <f>Parameters!S149</f>
        <v>0.71500000000000008</v>
      </c>
      <c r="AJ48" s="908">
        <f t="shared" si="17"/>
        <v>0.4</v>
      </c>
      <c r="AK48" s="906">
        <f t="shared" si="18"/>
        <v>607.85033297138114</v>
      </c>
      <c r="AL48" s="906">
        <f t="shared" si="19"/>
        <v>607.85033297138114</v>
      </c>
      <c r="AM48" s="286">
        <f t="shared" si="20"/>
        <v>0</v>
      </c>
      <c r="AN48" s="906">
        <f t="shared" si="21"/>
        <v>5943.9021431457895</v>
      </c>
      <c r="AO48" s="906">
        <f t="shared" si="22"/>
        <v>273.58522662690956</v>
      </c>
      <c r="AP48" s="915">
        <f t="shared" si="23"/>
        <v>182.39015108460637</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182.39015108460637</v>
      </c>
      <c r="BD48" s="1080">
        <f t="shared" si="33"/>
        <v>0</v>
      </c>
      <c r="BE48" s="301">
        <f t="shared" si="34"/>
        <v>319.74656310350917</v>
      </c>
      <c r="BF48" s="104">
        <v>0</v>
      </c>
      <c r="BG48" s="302">
        <f t="shared" si="35"/>
        <v>319.74656310350917</v>
      </c>
      <c r="BI48" s="300">
        <f t="shared" si="36"/>
        <v>137.35641201890277</v>
      </c>
      <c r="BJ48" s="301">
        <f t="shared" si="37"/>
        <v>182.39015108460637</v>
      </c>
      <c r="BK48" s="1080">
        <f t="shared" si="38"/>
        <v>0</v>
      </c>
      <c r="BL48" s="301">
        <f t="shared" si="39"/>
        <v>319.74656310350917</v>
      </c>
      <c r="BM48" s="104">
        <v>0</v>
      </c>
      <c r="BN48" s="302">
        <f t="shared" si="40"/>
        <v>319.74656310350917</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4411.8246364609513</v>
      </c>
      <c r="Y49" s="908">
        <f>Parameters!S150</f>
        <v>0.71500000000000008</v>
      </c>
      <c r="Z49" s="908">
        <f t="shared" si="9"/>
        <v>0.4</v>
      </c>
      <c r="AA49" s="906">
        <f t="shared" si="10"/>
        <v>630.89092301391611</v>
      </c>
      <c r="AB49" s="906">
        <f t="shared" si="11"/>
        <v>630.89092301391611</v>
      </c>
      <c r="AC49" s="286">
        <f t="shared" si="12"/>
        <v>0</v>
      </c>
      <c r="AD49" s="906">
        <f t="shared" si="13"/>
        <v>6284.9055379270458</v>
      </c>
      <c r="AE49" s="906">
        <f t="shared" si="14"/>
        <v>289.88752823265952</v>
      </c>
      <c r="AF49" s="915">
        <f t="shared" si="15"/>
        <v>193.25835215510634</v>
      </c>
      <c r="AG49" s="1450">
        <f t="shared" si="16"/>
        <v>0.13527885904981399</v>
      </c>
      <c r="AH49" s="914">
        <f>'Baseline data (from input)'!AS35*AG49</f>
        <v>4411.8246364609513</v>
      </c>
      <c r="AI49" s="908">
        <f>Parameters!S150</f>
        <v>0.71500000000000008</v>
      </c>
      <c r="AJ49" s="908">
        <f t="shared" si="17"/>
        <v>0.4</v>
      </c>
      <c r="AK49" s="906">
        <f t="shared" si="18"/>
        <v>630.89092301391611</v>
      </c>
      <c r="AL49" s="906">
        <f t="shared" si="19"/>
        <v>630.89092301391611</v>
      </c>
      <c r="AM49" s="286">
        <f t="shared" si="20"/>
        <v>0</v>
      </c>
      <c r="AN49" s="906">
        <f t="shared" si="21"/>
        <v>6284.9055379270458</v>
      </c>
      <c r="AO49" s="906">
        <f t="shared" si="22"/>
        <v>289.88752823265952</v>
      </c>
      <c r="AP49" s="915">
        <f t="shared" si="23"/>
        <v>193.25835215510634</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193.25835215510634</v>
      </c>
      <c r="BD49" s="1080">
        <f t="shared" si="33"/>
        <v>0</v>
      </c>
      <c r="BE49" s="301">
        <f t="shared" si="34"/>
        <v>339.79215059003616</v>
      </c>
      <c r="BF49" s="104">
        <v>0</v>
      </c>
      <c r="BG49" s="302">
        <f t="shared" si="35"/>
        <v>339.79215059003616</v>
      </c>
      <c r="BI49" s="300">
        <f t="shared" si="36"/>
        <v>146.53379843492979</v>
      </c>
      <c r="BJ49" s="301">
        <f t="shared" si="37"/>
        <v>193.25835215510634</v>
      </c>
      <c r="BK49" s="1080">
        <f t="shared" si="38"/>
        <v>0</v>
      </c>
      <c r="BL49" s="301">
        <f t="shared" si="39"/>
        <v>339.79215059003616</v>
      </c>
      <c r="BM49" s="104">
        <v>0</v>
      </c>
      <c r="BN49" s="302">
        <f t="shared" si="40"/>
        <v>339.79215059003616</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4703.9132401423676</v>
      </c>
      <c r="Y50" s="908">
        <f>Parameters!S151</f>
        <v>0.71500000000000008</v>
      </c>
      <c r="Z50" s="908">
        <f t="shared" si="9"/>
        <v>0.4</v>
      </c>
      <c r="AA50" s="906">
        <f t="shared" si="10"/>
        <v>672.6595933403587</v>
      </c>
      <c r="AB50" s="906">
        <f t="shared" si="11"/>
        <v>672.6595933403587</v>
      </c>
      <c r="AC50" s="286">
        <f t="shared" si="12"/>
        <v>0</v>
      </c>
      <c r="AD50" s="906">
        <f t="shared" si="13"/>
        <v>6651.0466712240532</v>
      </c>
      <c r="AE50" s="906">
        <f t="shared" si="14"/>
        <v>306.51846004335158</v>
      </c>
      <c r="AF50" s="915">
        <f t="shared" si="15"/>
        <v>204.34564002890104</v>
      </c>
      <c r="AG50" s="1450">
        <f t="shared" si="16"/>
        <v>0.13527885904981399</v>
      </c>
      <c r="AH50" s="914">
        <f>'Baseline data (from input)'!AS36*AG50</f>
        <v>4703.9132401423676</v>
      </c>
      <c r="AI50" s="908">
        <f>Parameters!S151</f>
        <v>0.71500000000000008</v>
      </c>
      <c r="AJ50" s="908">
        <f t="shared" si="17"/>
        <v>0.4</v>
      </c>
      <c r="AK50" s="906">
        <f t="shared" si="18"/>
        <v>672.6595933403587</v>
      </c>
      <c r="AL50" s="906">
        <f t="shared" si="19"/>
        <v>672.6595933403587</v>
      </c>
      <c r="AM50" s="286">
        <f t="shared" si="20"/>
        <v>0</v>
      </c>
      <c r="AN50" s="906">
        <f t="shared" si="21"/>
        <v>6651.0466712240532</v>
      </c>
      <c r="AO50" s="906">
        <f t="shared" si="22"/>
        <v>306.51846004335158</v>
      </c>
      <c r="AP50" s="915">
        <f t="shared" si="23"/>
        <v>204.34564002890104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204.34564002890104</v>
      </c>
      <c r="BD50" s="1080">
        <f t="shared" si="33"/>
        <v>0</v>
      </c>
      <c r="BE50" s="301">
        <f t="shared" si="34"/>
        <v>359.96224676782379</v>
      </c>
      <c r="BF50" s="104">
        <v>0</v>
      </c>
      <c r="BG50" s="302">
        <f t="shared" si="35"/>
        <v>359.96224676782379</v>
      </c>
      <c r="BI50" s="300">
        <f t="shared" si="36"/>
        <v>155.61660673892274</v>
      </c>
      <c r="BJ50" s="301">
        <f t="shared" si="37"/>
        <v>204.34564002890104</v>
      </c>
      <c r="BK50" s="1080">
        <f t="shared" si="38"/>
        <v>0</v>
      </c>
      <c r="BL50" s="301">
        <f t="shared" si="39"/>
        <v>359.96224676782379</v>
      </c>
      <c r="BM50" s="104">
        <v>0</v>
      </c>
      <c r="BN50" s="302">
        <f t="shared" si="40"/>
        <v>359.96224676782379</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4956.0776773639745</v>
      </c>
      <c r="Y51" s="908">
        <f>Parameters!S152</f>
        <v>0.71500000000000008</v>
      </c>
      <c r="Z51" s="908">
        <f t="shared" si="9"/>
        <v>0.4</v>
      </c>
      <c r="AA51" s="906">
        <f t="shared" si="10"/>
        <v>708.71910786304852</v>
      </c>
      <c r="AB51" s="906">
        <f t="shared" si="11"/>
        <v>708.71910786304852</v>
      </c>
      <c r="AC51" s="286">
        <f t="shared" si="12"/>
        <v>0</v>
      </c>
      <c r="AD51" s="906">
        <f t="shared" si="13"/>
        <v>7035.3904052588941</v>
      </c>
      <c r="AE51" s="906">
        <f t="shared" si="14"/>
        <v>324.37537382820739</v>
      </c>
      <c r="AF51" s="915">
        <f t="shared" si="15"/>
        <v>216.25024921880492</v>
      </c>
      <c r="AG51" s="1450">
        <f t="shared" si="16"/>
        <v>0.13527885904981399</v>
      </c>
      <c r="AH51" s="914">
        <f>'Baseline data (from input)'!AS37*AG51</f>
        <v>4956.0776773639745</v>
      </c>
      <c r="AI51" s="908">
        <f>Parameters!S152</f>
        <v>0.71500000000000008</v>
      </c>
      <c r="AJ51" s="908">
        <f t="shared" si="17"/>
        <v>0.4</v>
      </c>
      <c r="AK51" s="906">
        <f t="shared" si="18"/>
        <v>708.71910786304852</v>
      </c>
      <c r="AL51" s="906">
        <f t="shared" si="19"/>
        <v>708.71910786304852</v>
      </c>
      <c r="AM51" s="286">
        <f t="shared" si="20"/>
        <v>0</v>
      </c>
      <c r="AN51" s="906">
        <f t="shared" si="21"/>
        <v>7035.3904052588941</v>
      </c>
      <c r="AO51" s="906">
        <f t="shared" si="22"/>
        <v>324.37537382820739</v>
      </c>
      <c r="AP51" s="915">
        <f t="shared" si="23"/>
        <v>216.25024921880492</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216.25024921880492</v>
      </c>
      <c r="BD51" s="1080">
        <f t="shared" si="33"/>
        <v>0</v>
      </c>
      <c r="BE51" s="301">
        <f t="shared" si="34"/>
        <v>380.88921653793648</v>
      </c>
      <c r="BF51" s="104">
        <v>0</v>
      </c>
      <c r="BG51" s="302">
        <f t="shared" si="35"/>
        <v>380.88921653793648</v>
      </c>
      <c r="BI51" s="300">
        <f t="shared" si="36"/>
        <v>164.63896731913152</v>
      </c>
      <c r="BJ51" s="301">
        <f t="shared" si="37"/>
        <v>216.25024921880492</v>
      </c>
      <c r="BK51" s="1080">
        <f t="shared" si="38"/>
        <v>0</v>
      </c>
      <c r="BL51" s="301">
        <f t="shared" si="39"/>
        <v>380.88921653793648</v>
      </c>
      <c r="BM51" s="104">
        <v>0</v>
      </c>
      <c r="BN51" s="302">
        <f t="shared" si="40"/>
        <v>380.88921653793648</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4937.076533044492</v>
      </c>
      <c r="Y52" s="908">
        <f>Parameters!S153</f>
        <v>0.71500000000000008</v>
      </c>
      <c r="Z52" s="908">
        <f t="shared" si="9"/>
        <v>0.4</v>
      </c>
      <c r="AA52" s="906">
        <f t="shared" si="10"/>
        <v>706.00194422536242</v>
      </c>
      <c r="AB52" s="906">
        <f t="shared" si="11"/>
        <v>706.00194422536242</v>
      </c>
      <c r="AC52" s="286">
        <f t="shared" si="12"/>
        <v>0</v>
      </c>
      <c r="AD52" s="906">
        <f t="shared" si="13"/>
        <v>7398.2723105576251</v>
      </c>
      <c r="AE52" s="906">
        <f t="shared" si="14"/>
        <v>343.12003892663114</v>
      </c>
      <c r="AF52" s="915">
        <f t="shared" si="15"/>
        <v>228.74669261775409</v>
      </c>
      <c r="AG52" s="1450">
        <f t="shared" si="16"/>
        <v>0.13527885904981399</v>
      </c>
      <c r="AH52" s="914">
        <f>'Baseline data (from input)'!AS38*AG52</f>
        <v>4937.076533044492</v>
      </c>
      <c r="AI52" s="908">
        <f>Parameters!S153</f>
        <v>0.71500000000000008</v>
      </c>
      <c r="AJ52" s="908">
        <f t="shared" si="17"/>
        <v>0.4</v>
      </c>
      <c r="AK52" s="906">
        <f t="shared" si="18"/>
        <v>706.00194422536242</v>
      </c>
      <c r="AL52" s="906">
        <f t="shared" si="19"/>
        <v>706.00194422536242</v>
      </c>
      <c r="AM52" s="286">
        <f t="shared" si="20"/>
        <v>0</v>
      </c>
      <c r="AN52" s="906">
        <f t="shared" si="21"/>
        <v>7398.2723105576251</v>
      </c>
      <c r="AO52" s="906">
        <f t="shared" si="22"/>
        <v>343.12003892663114</v>
      </c>
      <c r="AP52" s="915">
        <f t="shared" si="23"/>
        <v>228.74669261775409</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228.74669261775409</v>
      </c>
      <c r="BD52" s="1080">
        <f t="shared" si="33"/>
        <v>0</v>
      </c>
      <c r="BE52" s="301">
        <f t="shared" si="34"/>
        <v>402.37702660662853</v>
      </c>
      <c r="BF52" s="104">
        <v>0</v>
      </c>
      <c r="BG52" s="302">
        <f t="shared" si="35"/>
        <v>402.37702660662853</v>
      </c>
      <c r="BI52" s="300">
        <f t="shared" si="36"/>
        <v>173.63033398887444</v>
      </c>
      <c r="BJ52" s="301">
        <f t="shared" si="37"/>
        <v>228.74669261775409</v>
      </c>
      <c r="BK52" s="1080">
        <f t="shared" si="38"/>
        <v>0</v>
      </c>
      <c r="BL52" s="301">
        <f t="shared" si="39"/>
        <v>402.37702660662853</v>
      </c>
      <c r="BM52" s="104">
        <v>0</v>
      </c>
      <c r="BN52" s="302">
        <f t="shared" si="40"/>
        <v>402.37702660662853</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4845.9112189982952</v>
      </c>
      <c r="Y53" s="908">
        <f>Parameters!S154</f>
        <v>0.71500000000000008</v>
      </c>
      <c r="Z53" s="908">
        <f t="shared" si="9"/>
        <v>0.4</v>
      </c>
      <c r="AA53" s="906">
        <f t="shared" si="10"/>
        <v>692.96530431675637</v>
      </c>
      <c r="AB53" s="906">
        <f t="shared" si="11"/>
        <v>692.96530431675637</v>
      </c>
      <c r="AC53" s="286">
        <f t="shared" si="12"/>
        <v>0</v>
      </c>
      <c r="AD53" s="906">
        <f t="shared" si="13"/>
        <v>7730.4196165880539</v>
      </c>
      <c r="AE53" s="906">
        <f t="shared" si="14"/>
        <v>360.81799828632762</v>
      </c>
      <c r="AF53" s="915">
        <f t="shared" si="15"/>
        <v>240.54533219088509</v>
      </c>
      <c r="AG53" s="1450">
        <f t="shared" si="16"/>
        <v>0.13527885904981399</v>
      </c>
      <c r="AH53" s="914">
        <f>'Baseline data (from input)'!AS39*AG53</f>
        <v>4845.9112189982952</v>
      </c>
      <c r="AI53" s="908">
        <f>Parameters!S154</f>
        <v>0.71500000000000008</v>
      </c>
      <c r="AJ53" s="908">
        <f t="shared" si="17"/>
        <v>0.4</v>
      </c>
      <c r="AK53" s="906">
        <f t="shared" si="18"/>
        <v>692.96530431675637</v>
      </c>
      <c r="AL53" s="906">
        <f t="shared" si="19"/>
        <v>692.96530431675637</v>
      </c>
      <c r="AM53" s="286">
        <f t="shared" si="20"/>
        <v>0</v>
      </c>
      <c r="AN53" s="906">
        <f t="shared" si="21"/>
        <v>7730.4196165880539</v>
      </c>
      <c r="AO53" s="906">
        <f t="shared" si="22"/>
        <v>360.81799828632762</v>
      </c>
      <c r="AP53" s="915">
        <f t="shared" si="23"/>
        <v>240.54533219088509</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240.54533219088509</v>
      </c>
      <c r="BD53" s="1080">
        <f t="shared" si="33"/>
        <v>0</v>
      </c>
      <c r="BE53" s="301">
        <f t="shared" si="34"/>
        <v>423.16044185342292</v>
      </c>
      <c r="BF53" s="104">
        <v>0</v>
      </c>
      <c r="BG53" s="302">
        <f t="shared" si="35"/>
        <v>423.16044185342292</v>
      </c>
      <c r="BI53" s="300">
        <f t="shared" si="36"/>
        <v>182.61510966253783</v>
      </c>
      <c r="BJ53" s="301">
        <f t="shared" si="37"/>
        <v>240.54533219088509</v>
      </c>
      <c r="BK53" s="1080">
        <f t="shared" si="38"/>
        <v>0</v>
      </c>
      <c r="BL53" s="301">
        <f t="shared" si="39"/>
        <v>423.16044185342292</v>
      </c>
      <c r="BM53" s="104">
        <v>0</v>
      </c>
      <c r="BN53" s="302">
        <f t="shared" si="40"/>
        <v>423.16044185342292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5093.0098004915999</v>
      </c>
      <c r="Y54" s="908">
        <f>Parameters!S155</f>
        <v>0.71500000000000008</v>
      </c>
      <c r="Z54" s="908">
        <f t="shared" si="9"/>
        <v>0.4</v>
      </c>
      <c r="AA54" s="906">
        <f t="shared" si="10"/>
        <v>728.30040147029888</v>
      </c>
      <c r="AB54" s="906">
        <f t="shared" si="11"/>
        <v>728.30040147029888</v>
      </c>
      <c r="AC54" s="286">
        <f t="shared" si="12"/>
        <v>0</v>
      </c>
      <c r="AD54" s="906">
        <f t="shared" si="13"/>
        <v>8081.7030045063839</v>
      </c>
      <c r="AE54" s="906">
        <f t="shared" si="14"/>
        <v>377.01701355196911</v>
      </c>
      <c r="AF54" s="915">
        <f t="shared" si="15"/>
        <v>251.34467570131275</v>
      </c>
      <c r="AG54" s="1450">
        <f t="shared" si="16"/>
        <v>0.13527885904981399</v>
      </c>
      <c r="AH54" s="914">
        <f>'Baseline data (from input)'!AS40*AG54</f>
        <v>5093.0098004915999</v>
      </c>
      <c r="AI54" s="908">
        <f>Parameters!S155</f>
        <v>0.71500000000000008</v>
      </c>
      <c r="AJ54" s="908">
        <f t="shared" si="17"/>
        <v>0.4</v>
      </c>
      <c r="AK54" s="906">
        <f t="shared" si="18"/>
        <v>728.30040147029888</v>
      </c>
      <c r="AL54" s="906">
        <f t="shared" si="19"/>
        <v>728.30040147029888</v>
      </c>
      <c r="AM54" s="286">
        <f t="shared" si="20"/>
        <v>0</v>
      </c>
      <c r="AN54" s="906">
        <f t="shared" si="21"/>
        <v>8081.7030045063839</v>
      </c>
      <c r="AO54" s="906">
        <f t="shared" si="22"/>
        <v>377.01701355196911</v>
      </c>
      <c r="AP54" s="915">
        <f t="shared" si="23"/>
        <v>251.34467570131275</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251.34467570131275</v>
      </c>
      <c r="BD54" s="1080">
        <f t="shared" si="33"/>
        <v>0</v>
      </c>
      <c r="BE54" s="301">
        <f t="shared" si="34"/>
        <v>442.95937560188946</v>
      </c>
      <c r="BF54" s="104">
        <v>0</v>
      </c>
      <c r="BG54" s="302">
        <f t="shared" si="35"/>
        <v>442.95937560188946</v>
      </c>
      <c r="BI54" s="300">
        <f t="shared" si="36"/>
        <v>191.61469990057671</v>
      </c>
      <c r="BJ54" s="301">
        <f t="shared" si="37"/>
        <v>251.34467570131275</v>
      </c>
      <c r="BK54" s="1080">
        <f t="shared" si="38"/>
        <v>0</v>
      </c>
      <c r="BL54" s="301">
        <f t="shared" si="39"/>
        <v>442.95937560188946</v>
      </c>
      <c r="BM54" s="104">
        <v>0</v>
      </c>
      <c r="BN54" s="302">
        <f t="shared" si="40"/>
        <v>442.95937560188946</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5031.3088159515701</v>
      </c>
      <c r="Y55" s="908">
        <f>Parameters!S156</f>
        <v>0.71500000000000008</v>
      </c>
      <c r="Z55" s="908">
        <f t="shared" si="9"/>
        <v>0.4</v>
      </c>
      <c r="AA55" s="906">
        <f t="shared" si="10"/>
        <v>719.47716068107457</v>
      </c>
      <c r="AB55" s="906">
        <f t="shared" si="11"/>
        <v>719.47716068107457</v>
      </c>
      <c r="AC55" s="286">
        <f t="shared" si="12"/>
        <v>0</v>
      </c>
      <c r="AD55" s="906">
        <f t="shared" si="13"/>
        <v>8407.0308586433748</v>
      </c>
      <c r="AE55" s="906">
        <f t="shared" si="14"/>
        <v>394.14930654408499</v>
      </c>
      <c r="AF55" s="915">
        <f t="shared" si="15"/>
        <v>262.76620436272333</v>
      </c>
      <c r="AG55" s="1450">
        <f t="shared" si="16"/>
        <v>0.13527885904981399</v>
      </c>
      <c r="AH55" s="914">
        <f>'Baseline data (from input)'!AS41*AG55</f>
        <v>5031.3088159515701</v>
      </c>
      <c r="AI55" s="908">
        <f>Parameters!S156</f>
        <v>0.71500000000000008</v>
      </c>
      <c r="AJ55" s="908">
        <f t="shared" si="17"/>
        <v>0.4</v>
      </c>
      <c r="AK55" s="906">
        <f t="shared" si="18"/>
        <v>719.47716068107457</v>
      </c>
      <c r="AL55" s="906">
        <f t="shared" si="19"/>
        <v>719.47716068107457</v>
      </c>
      <c r="AM55" s="286">
        <f t="shared" si="20"/>
        <v>0</v>
      </c>
      <c r="AN55" s="906">
        <f t="shared" si="21"/>
        <v>8407.0308586433748</v>
      </c>
      <c r="AO55" s="906">
        <f t="shared" si="22"/>
        <v>394.14930654408499</v>
      </c>
      <c r="AP55" s="915">
        <f t="shared" si="23"/>
        <v>262.76620436272333</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262.76620436272333</v>
      </c>
      <c r="BD55" s="1080">
        <f t="shared" si="33"/>
        <v>0</v>
      </c>
      <c r="BE55" s="301">
        <f t="shared" si="34"/>
        <v>463.41205624516158</v>
      </c>
      <c r="BF55" s="104">
        <v>0</v>
      </c>
      <c r="BG55" s="302">
        <f t="shared" si="35"/>
        <v>463.41205624516158</v>
      </c>
      <c r="BI55" s="300">
        <f t="shared" si="36"/>
        <v>200.64585188243828</v>
      </c>
      <c r="BJ55" s="301">
        <f t="shared" si="37"/>
        <v>262.76620436272333</v>
      </c>
      <c r="BK55" s="1080">
        <f t="shared" si="38"/>
        <v>0</v>
      </c>
      <c r="BL55" s="301">
        <f t="shared" si="39"/>
        <v>463.41205624516158</v>
      </c>
      <c r="BM55" s="104">
        <v>0</v>
      </c>
      <c r="BN55" s="302">
        <f t="shared" si="40"/>
        <v>463.41205624516158</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5032.2061387093881</v>
      </c>
      <c r="Y56" s="908">
        <f>Parameters!S157</f>
        <v>0.71500000000000008</v>
      </c>
      <c r="Z56" s="908">
        <f t="shared" si="9"/>
        <v>0.4</v>
      </c>
      <c r="AA56" s="906">
        <f t="shared" si="10"/>
        <v>719.60547783544268</v>
      </c>
      <c r="AB56" s="906">
        <f t="shared" si="11"/>
        <v>719.60547783544268</v>
      </c>
      <c r="AC56" s="286">
        <f t="shared" si="12"/>
        <v>0</v>
      </c>
      <c r="AD56" s="906">
        <f t="shared" si="13"/>
        <v>8716.6206032625232</v>
      </c>
      <c r="AE56" s="906">
        <f t="shared" si="14"/>
        <v>410.01573321629377</v>
      </c>
      <c r="AF56" s="915">
        <f t="shared" si="15"/>
        <v>273.34382214419583</v>
      </c>
      <c r="AG56" s="1450">
        <f t="shared" si="16"/>
        <v>0.13527885904981399</v>
      </c>
      <c r="AH56" s="914">
        <f>'Baseline data (from input)'!AS42*AG56</f>
        <v>5032.2061387093881</v>
      </c>
      <c r="AI56" s="908">
        <f>Parameters!S157</f>
        <v>0.71500000000000008</v>
      </c>
      <c r="AJ56" s="908">
        <f t="shared" si="17"/>
        <v>0.4</v>
      </c>
      <c r="AK56" s="906">
        <f t="shared" si="18"/>
        <v>719.60547783544268</v>
      </c>
      <c r="AL56" s="906">
        <f t="shared" si="19"/>
        <v>719.60547783544268</v>
      </c>
      <c r="AM56" s="286">
        <f t="shared" si="20"/>
        <v>0</v>
      </c>
      <c r="AN56" s="906">
        <f t="shared" si="21"/>
        <v>8716.6206032625232</v>
      </c>
      <c r="AO56" s="906">
        <f t="shared" si="22"/>
        <v>410.01573321629377</v>
      </c>
      <c r="AP56" s="915">
        <f t="shared" si="23"/>
        <v>273.34382214419583</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273.34382214419583</v>
      </c>
      <c r="BD56" s="1080">
        <f t="shared" si="33"/>
        <v>0</v>
      </c>
      <c r="BE56" s="301">
        <f t="shared" si="34"/>
        <v>483.06410133942916</v>
      </c>
      <c r="BF56" s="104">
        <v>0</v>
      </c>
      <c r="BG56" s="302">
        <f t="shared" si="35"/>
        <v>483.06410133942916</v>
      </c>
      <c r="BI56" s="300">
        <f t="shared" si="36"/>
        <v>209.7202791952333</v>
      </c>
      <c r="BJ56" s="301">
        <f t="shared" si="37"/>
        <v>273.34382214419583</v>
      </c>
      <c r="BK56" s="1080">
        <f t="shared" si="38"/>
        <v>0</v>
      </c>
      <c r="BL56" s="301">
        <f t="shared" si="39"/>
        <v>483.06410133942916</v>
      </c>
      <c r="BM56" s="104">
        <v>0</v>
      </c>
      <c r="BN56" s="302">
        <f t="shared" si="40"/>
        <v>483.06410133942916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5137.9194654585808</v>
      </c>
      <c r="Y57" s="908">
        <f>Parameters!S158</f>
        <v>0.71500000000000008</v>
      </c>
      <c r="Z57" s="908">
        <f t="shared" si="9"/>
        <v>0.4</v>
      </c>
      <c r="AA57" s="906">
        <f t="shared" si="10"/>
        <v>734.72248356057719</v>
      </c>
      <c r="AB57" s="906">
        <f t="shared" si="11"/>
        <v>734.72248356057719</v>
      </c>
      <c r="AC57" s="286">
        <f t="shared" si="12"/>
        <v>0</v>
      </c>
      <c r="AD57" s="906">
        <f t="shared" si="13"/>
        <v>9026.228483593055</v>
      </c>
      <c r="AE57" s="906">
        <f t="shared" si="14"/>
        <v>425.11460323004661</v>
      </c>
      <c r="AF57" s="915">
        <f t="shared" si="15"/>
        <v>283.40973548669774</v>
      </c>
      <c r="AG57" s="1450">
        <f t="shared" si="16"/>
        <v>0.13527885904981399</v>
      </c>
      <c r="AH57" s="914">
        <f>'Baseline data (from input)'!AS43*AG57</f>
        <v>5137.9194654585808</v>
      </c>
      <c r="AI57" s="908">
        <f>Parameters!S158</f>
        <v>0.71500000000000008</v>
      </c>
      <c r="AJ57" s="908">
        <f t="shared" si="17"/>
        <v>0.4</v>
      </c>
      <c r="AK57" s="906">
        <f t="shared" si="18"/>
        <v>734.72248356057719</v>
      </c>
      <c r="AL57" s="906">
        <f t="shared" si="19"/>
        <v>734.72248356057719</v>
      </c>
      <c r="AM57" s="286">
        <f t="shared" si="20"/>
        <v>0</v>
      </c>
      <c r="AN57" s="906">
        <f t="shared" si="21"/>
        <v>9026.228483593055</v>
      </c>
      <c r="AO57" s="906">
        <f t="shared" si="22"/>
        <v>425.11460323004661</v>
      </c>
      <c r="AP57" s="915">
        <f t="shared" si="23"/>
        <v>283.40973548669774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283.40973548669774</v>
      </c>
      <c r="BD57" s="1080">
        <f t="shared" si="33"/>
        <v>0</v>
      </c>
      <c r="BE57" s="301">
        <f t="shared" si="34"/>
        <v>502.25163079537447</v>
      </c>
      <c r="BF57" s="104">
        <v>0</v>
      </c>
      <c r="BG57" s="302">
        <f t="shared" si="35"/>
        <v>502.25163079537447</v>
      </c>
      <c r="BI57" s="300">
        <f t="shared" si="36"/>
        <v>218.84189530867673</v>
      </c>
      <c r="BJ57" s="301">
        <f t="shared" si="37"/>
        <v>283.40973548669774</v>
      </c>
      <c r="BK57" s="1080">
        <f t="shared" si="38"/>
        <v>0</v>
      </c>
      <c r="BL57" s="301">
        <f t="shared" si="39"/>
        <v>502.25163079537447</v>
      </c>
      <c r="BM57" s="104">
        <v>0</v>
      </c>
      <c r="BN57" s="302">
        <f t="shared" si="40"/>
        <v>502.25163079537447</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5353.7188932687131</v>
      </c>
      <c r="Y58" s="908">
        <f>Parameters!S159</f>
        <v>0.71500000000000008</v>
      </c>
      <c r="Z58" s="908">
        <f t="shared" si="9"/>
        <v>0.4</v>
      </c>
      <c r="AA58" s="906">
        <f t="shared" si="10"/>
        <v>765.58180173742619</v>
      </c>
      <c r="AB58" s="906">
        <f t="shared" si="11"/>
        <v>765.58180173742619</v>
      </c>
      <c r="AC58" s="286">
        <f t="shared" si="12"/>
        <v>0</v>
      </c>
      <c r="AD58" s="906">
        <f t="shared" si="13"/>
        <v>9351.5959275976002</v>
      </c>
      <c r="AE58" s="906">
        <f t="shared" si="14"/>
        <v>440.21435773288073</v>
      </c>
      <c r="AF58" s="915">
        <f t="shared" si="15"/>
        <v>293.47623848858717</v>
      </c>
      <c r="AG58" s="1450">
        <f t="shared" si="16"/>
        <v>0.13527885904981399</v>
      </c>
      <c r="AH58" s="914">
        <f>'Baseline data (from input)'!AS44*AG58</f>
        <v>5353.7188932687131</v>
      </c>
      <c r="AI58" s="908">
        <f>Parameters!S159</f>
        <v>0.71500000000000008</v>
      </c>
      <c r="AJ58" s="908">
        <f t="shared" si="17"/>
        <v>0.4</v>
      </c>
      <c r="AK58" s="906">
        <f t="shared" si="18"/>
        <v>765.58180173742619</v>
      </c>
      <c r="AL58" s="906">
        <f t="shared" si="19"/>
        <v>765.58180173742619</v>
      </c>
      <c r="AM58" s="286">
        <f t="shared" si="20"/>
        <v>0</v>
      </c>
      <c r="AN58" s="906">
        <f t="shared" si="21"/>
        <v>9351.5959275976002</v>
      </c>
      <c r="AO58" s="906">
        <f t="shared" si="22"/>
        <v>440.21435773288073</v>
      </c>
      <c r="AP58" s="915">
        <f t="shared" si="23"/>
        <v>293.47623848858717</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293.47623848858717</v>
      </c>
      <c r="BD58" s="1080">
        <f t="shared" si="33"/>
        <v>0</v>
      </c>
      <c r="BE58" s="301">
        <f t="shared" si="34"/>
        <v>521.48403488314</v>
      </c>
      <c r="BF58" s="104">
        <v>0</v>
      </c>
      <c r="BG58" s="302">
        <f t="shared" si="35"/>
        <v>521.48403488314</v>
      </c>
      <c r="BI58" s="300">
        <f t="shared" si="36"/>
        <v>228.00779639455286</v>
      </c>
      <c r="BJ58" s="301">
        <f t="shared" si="37"/>
        <v>293.47623848858717</v>
      </c>
      <c r="BK58" s="1080">
        <f t="shared" si="38"/>
        <v>0</v>
      </c>
      <c r="BL58" s="301">
        <f t="shared" si="39"/>
        <v>521.48403488314</v>
      </c>
      <c r="BM58" s="104">
        <v>0</v>
      </c>
      <c r="BN58" s="302">
        <f t="shared" si="40"/>
        <v>521.48403488314</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5481.9289052421027</v>
      </c>
      <c r="Y59" s="908">
        <f>Parameters!S160</f>
        <v>0.71500000000000008</v>
      </c>
      <c r="Z59" s="908">
        <f t="shared" si="9"/>
        <v>0.4</v>
      </c>
      <c r="AA59" s="906">
        <f t="shared" si="10"/>
        <v>783.91583344962078</v>
      </c>
      <c r="AB59" s="906">
        <f t="shared" si="11"/>
        <v>783.91583344962078</v>
      </c>
      <c r="AC59" s="286">
        <f t="shared" si="12"/>
        <v>0</v>
      </c>
      <c r="AD59" s="906">
        <f t="shared" si="13"/>
        <v>9679.4290458215073</v>
      </c>
      <c r="AE59" s="906">
        <f t="shared" si="14"/>
        <v>456.08271522571408</v>
      </c>
      <c r="AF59" s="915">
        <f t="shared" si="15"/>
        <v>304.05514348380939</v>
      </c>
      <c r="AG59" s="1450">
        <f t="shared" si="16"/>
        <v>0.13527885904981399</v>
      </c>
      <c r="AH59" s="914">
        <f>'Baseline data (from input)'!AS45*AG59</f>
        <v>5481.9289052421027</v>
      </c>
      <c r="AI59" s="908">
        <f>Parameters!S160</f>
        <v>0.71500000000000008</v>
      </c>
      <c r="AJ59" s="908">
        <f t="shared" si="17"/>
        <v>0.4</v>
      </c>
      <c r="AK59" s="906">
        <f t="shared" si="18"/>
        <v>783.91583344962078</v>
      </c>
      <c r="AL59" s="906">
        <f t="shared" si="19"/>
        <v>783.91583344962078</v>
      </c>
      <c r="AM59" s="286">
        <f t="shared" si="20"/>
        <v>0</v>
      </c>
      <c r="AN59" s="906">
        <f t="shared" si="21"/>
        <v>9679.4290458215073</v>
      </c>
      <c r="AO59" s="906">
        <f t="shared" si="22"/>
        <v>456.08271522571408</v>
      </c>
      <c r="AP59" s="915">
        <f t="shared" si="23"/>
        <v>304.05514348380939</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304.05514348380939</v>
      </c>
      <c r="BD59" s="1080">
        <f t="shared" si="33"/>
        <v>0</v>
      </c>
      <c r="BE59" s="301">
        <f t="shared" si="34"/>
        <v>541.26072527781344</v>
      </c>
      <c r="BF59" s="104">
        <v>0</v>
      </c>
      <c r="BG59" s="302">
        <f t="shared" si="35"/>
        <v>541.26072527781344</v>
      </c>
      <c r="BI59" s="300">
        <f t="shared" si="36"/>
        <v>237.20558179400405</v>
      </c>
      <c r="BJ59" s="301">
        <f t="shared" si="37"/>
        <v>304.05514348380939</v>
      </c>
      <c r="BK59" s="1080">
        <f t="shared" si="38"/>
        <v>0</v>
      </c>
      <c r="BL59" s="301">
        <f t="shared" si="39"/>
        <v>541.26072527781344</v>
      </c>
      <c r="BM59" s="104">
        <v>0</v>
      </c>
      <c r="BN59" s="302">
        <f t="shared" si="40"/>
        <v>541.26072527781344</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5464.50812041274</v>
      </c>
      <c r="Y60" s="908">
        <f>Parameters!S161</f>
        <v>0.71500000000000008</v>
      </c>
      <c r="Z60" s="908">
        <f t="shared" si="9"/>
        <v>0.4</v>
      </c>
      <c r="AA60" s="906">
        <f t="shared" si="10"/>
        <v>781.42466121902203</v>
      </c>
      <c r="AB60" s="906">
        <f t="shared" si="11"/>
        <v>781.42466121902203</v>
      </c>
      <c r="AC60" s="286">
        <f t="shared" si="12"/>
        <v>0</v>
      </c>
      <c r="AD60" s="906">
        <f t="shared" si="13"/>
        <v>9988.7823819713103</v>
      </c>
      <c r="AE60" s="906">
        <f t="shared" si="14"/>
        <v>472.07132506921954</v>
      </c>
      <c r="AF60" s="915">
        <f t="shared" si="15"/>
        <v>314.71421671281303</v>
      </c>
      <c r="AG60" s="1450">
        <f t="shared" si="16"/>
        <v>0.13527885904981399</v>
      </c>
      <c r="AH60" s="914">
        <f>'Baseline data (from input)'!AS46*AG60</f>
        <v>5464.50812041274</v>
      </c>
      <c r="AI60" s="908">
        <f>Parameters!S161</f>
        <v>0.71500000000000008</v>
      </c>
      <c r="AJ60" s="908">
        <f t="shared" si="17"/>
        <v>0.4</v>
      </c>
      <c r="AK60" s="906">
        <f t="shared" si="18"/>
        <v>781.42466121902203</v>
      </c>
      <c r="AL60" s="906">
        <f t="shared" si="19"/>
        <v>781.42466121902203</v>
      </c>
      <c r="AM60" s="286">
        <f t="shared" si="20"/>
        <v>0</v>
      </c>
      <c r="AN60" s="906">
        <f t="shared" si="21"/>
        <v>9988.7823819713103</v>
      </c>
      <c r="AO60" s="906">
        <f t="shared" si="22"/>
        <v>472.07132506921954</v>
      </c>
      <c r="AP60" s="915">
        <f t="shared" si="23"/>
        <v>314.71421671281303</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314.71421671281303</v>
      </c>
      <c r="BD60" s="1080">
        <f t="shared" si="33"/>
        <v>0</v>
      </c>
      <c r="BE60" s="301">
        <f t="shared" si="34"/>
        <v>561.12863629949061</v>
      </c>
      <c r="BF60" s="104">
        <v>0</v>
      </c>
      <c r="BG60" s="302">
        <f t="shared" si="35"/>
        <v>561.12863629949061</v>
      </c>
      <c r="BI60" s="300">
        <f t="shared" si="36"/>
        <v>246.41441958667755</v>
      </c>
      <c r="BJ60" s="301">
        <f t="shared" si="37"/>
        <v>314.71421671281303</v>
      </c>
      <c r="BK60" s="1080">
        <f t="shared" si="38"/>
        <v>0</v>
      </c>
      <c r="BL60" s="301">
        <f t="shared" si="39"/>
        <v>561.12863629949061</v>
      </c>
      <c r="BM60" s="104">
        <v>0</v>
      </c>
      <c r="BN60" s="302">
        <f t="shared" si="40"/>
        <v>561.12863629949061</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5408.8674127689983</v>
      </c>
      <c r="Y61" s="908">
        <f>Parameters!S162</f>
        <v>0.71500000000000008</v>
      </c>
      <c r="Z61" s="908">
        <f t="shared" si="9"/>
        <v>0.4</v>
      </c>
      <c r="AA61" s="906">
        <f t="shared" si="10"/>
        <v>773.46804002596696</v>
      </c>
      <c r="AB61" s="906">
        <f t="shared" si="11"/>
        <v>773.46804002596696</v>
      </c>
      <c r="AC61" s="286">
        <f t="shared" si="12"/>
        <v>0</v>
      </c>
      <c r="AD61" s="906">
        <f t="shared" si="13"/>
        <v>10275.091756691409</v>
      </c>
      <c r="AE61" s="906">
        <f t="shared" si="14"/>
        <v>487.15866530586948</v>
      </c>
      <c r="AF61" s="915">
        <f t="shared" si="15"/>
        <v>324.77244353724632</v>
      </c>
      <c r="AG61" s="1450">
        <f t="shared" si="16"/>
        <v>0.13527885904981399</v>
      </c>
      <c r="AH61" s="914">
        <f>'Baseline data (from input)'!AS47*AG61</f>
        <v>5408.8674127689983</v>
      </c>
      <c r="AI61" s="908">
        <f>Parameters!S162</f>
        <v>0.71500000000000008</v>
      </c>
      <c r="AJ61" s="908">
        <f t="shared" si="17"/>
        <v>0.4</v>
      </c>
      <c r="AK61" s="906">
        <f t="shared" si="18"/>
        <v>773.46804002596696</v>
      </c>
      <c r="AL61" s="906">
        <f t="shared" si="19"/>
        <v>773.46804002596696</v>
      </c>
      <c r="AM61" s="286">
        <f t="shared" si="20"/>
        <v>0</v>
      </c>
      <c r="AN61" s="906">
        <f t="shared" si="21"/>
        <v>10275.091756691409</v>
      </c>
      <c r="AO61" s="906">
        <f t="shared" si="22"/>
        <v>487.15866530586948</v>
      </c>
      <c r="AP61" s="915">
        <f t="shared" si="23"/>
        <v>324.77244353724632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324.77244353724632</v>
      </c>
      <c r="BD61" s="1080">
        <f t="shared" si="33"/>
        <v>0</v>
      </c>
      <c r="BE61" s="301">
        <f t="shared" si="34"/>
        <v>580.37368450269048</v>
      </c>
      <c r="BF61" s="104">
        <v>0</v>
      </c>
      <c r="BG61" s="302">
        <f t="shared" si="35"/>
        <v>580.37368450269048</v>
      </c>
      <c r="BI61" s="300">
        <f t="shared" si="36"/>
        <v>255.60124096544416</v>
      </c>
      <c r="BJ61" s="301">
        <f t="shared" si="37"/>
        <v>324.77244353724632</v>
      </c>
      <c r="BK61" s="1080">
        <f t="shared" si="38"/>
        <v>0</v>
      </c>
      <c r="BL61" s="301">
        <f t="shared" si="39"/>
        <v>580.37368450269048</v>
      </c>
      <c r="BM61" s="104">
        <v>0</v>
      </c>
      <c r="BN61" s="302">
        <f t="shared" si="40"/>
        <v>580.37368450269048</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5293.2768391075424</v>
      </c>
      <c r="Y62" s="908">
        <f>Parameters!S163</f>
        <v>0.71500000000000008</v>
      </c>
      <c r="Z62" s="908">
        <f t="shared" si="9"/>
        <v>0.4</v>
      </c>
      <c r="AA62" s="906">
        <f t="shared" si="10"/>
        <v>756.93858799237864</v>
      </c>
      <c r="AB62" s="906">
        <f t="shared" si="11"/>
        <v>756.93858799237864</v>
      </c>
      <c r="AC62" s="286">
        <f t="shared" si="12"/>
        <v>0</v>
      </c>
      <c r="AD62" s="906">
        <f t="shared" si="13"/>
        <v>10530.908206401979</v>
      </c>
      <c r="AE62" s="906">
        <f t="shared" si="14"/>
        <v>501.12213828180938</v>
      </c>
      <c r="AF62" s="915">
        <f t="shared" si="15"/>
        <v>334.08142552120626</v>
      </c>
      <c r="AG62" s="1450">
        <f t="shared" si="16"/>
        <v>0.13527885904981399</v>
      </c>
      <c r="AH62" s="914">
        <f>'Baseline data (from input)'!AS48*AG62</f>
        <v>5293.2768391075424</v>
      </c>
      <c r="AI62" s="908">
        <f>Parameters!S163</f>
        <v>0.71500000000000008</v>
      </c>
      <c r="AJ62" s="908">
        <f t="shared" si="17"/>
        <v>0.4</v>
      </c>
      <c r="AK62" s="906">
        <f t="shared" si="18"/>
        <v>756.93858799237864</v>
      </c>
      <c r="AL62" s="906">
        <f t="shared" si="19"/>
        <v>756.93858799237864</v>
      </c>
      <c r="AM62" s="286">
        <f t="shared" si="20"/>
        <v>0</v>
      </c>
      <c r="AN62" s="906">
        <f t="shared" si="21"/>
        <v>10530.908206401979</v>
      </c>
      <c r="AO62" s="906">
        <f t="shared" si="22"/>
        <v>501.12213828180938</v>
      </c>
      <c r="AP62" s="915">
        <f t="shared" si="23"/>
        <v>334.08142552120626</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334.08142552120626</v>
      </c>
      <c r="BD62" s="1080">
        <f t="shared" si="33"/>
        <v>0</v>
      </c>
      <c r="BE62" s="301">
        <f t="shared" si="34"/>
        <v>598.86300288270945</v>
      </c>
      <c r="BF62" s="104">
        <v>0</v>
      </c>
      <c r="BG62" s="302">
        <f t="shared" si="35"/>
        <v>598.86300288270945</v>
      </c>
      <c r="BI62" s="300">
        <f t="shared" si="36"/>
        <v>264.78157736150325</v>
      </c>
      <c r="BJ62" s="301">
        <f t="shared" si="37"/>
        <v>334.08142552120626</v>
      </c>
      <c r="BK62" s="1080">
        <f t="shared" si="38"/>
        <v>0</v>
      </c>
      <c r="BL62" s="301">
        <f t="shared" si="39"/>
        <v>598.86300288270945</v>
      </c>
      <c r="BM62" s="104">
        <v>0</v>
      </c>
      <c r="BN62" s="302">
        <f t="shared" si="40"/>
        <v>598.86300288270945</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5358.5704629681513</v>
      </c>
      <c r="Y63" s="908">
        <f>Parameters!S164</f>
        <v>0.71500000000000008</v>
      </c>
      <c r="Z63" s="908">
        <f t="shared" si="9"/>
        <v>0.4</v>
      </c>
      <c r="AA63" s="906">
        <f t="shared" si="10"/>
        <v>766.27557620444577</v>
      </c>
      <c r="AB63" s="906">
        <f t="shared" si="11"/>
        <v>766.27557620444577</v>
      </c>
      <c r="AC63" s="286">
        <f t="shared" si="12"/>
        <v>0</v>
      </c>
      <c r="AD63" s="906">
        <f t="shared" si="13"/>
        <v>10783.585328850046</v>
      </c>
      <c r="AE63" s="906">
        <f t="shared" si="14"/>
        <v>513.59845375637803</v>
      </c>
      <c r="AF63" s="915">
        <f t="shared" si="15"/>
        <v>342.39896917091869</v>
      </c>
      <c r="AG63" s="1450">
        <f t="shared" si="16"/>
        <v>0.13527885904981399</v>
      </c>
      <c r="AH63" s="914">
        <f>'Baseline data (from input)'!AS49*AG63</f>
        <v>5358.5704629681513</v>
      </c>
      <c r="AI63" s="908">
        <f>Parameters!S164</f>
        <v>0.71500000000000008</v>
      </c>
      <c r="AJ63" s="908">
        <f t="shared" si="17"/>
        <v>0.4</v>
      </c>
      <c r="AK63" s="906">
        <f t="shared" si="18"/>
        <v>766.27557620444577</v>
      </c>
      <c r="AL63" s="906">
        <f t="shared" si="19"/>
        <v>766.27557620444577</v>
      </c>
      <c r="AM63" s="286">
        <f t="shared" si="20"/>
        <v>0</v>
      </c>
      <c r="AN63" s="906">
        <f t="shared" si="21"/>
        <v>10783.585328850046</v>
      </c>
      <c r="AO63" s="906">
        <f t="shared" si="22"/>
        <v>513.59845375637803</v>
      </c>
      <c r="AP63" s="915">
        <f t="shared" si="23"/>
        <v>342.39896917091869</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342.39896917091869</v>
      </c>
      <c r="BD63" s="1080">
        <f t="shared" si="33"/>
        <v>0</v>
      </c>
      <c r="BE63" s="301">
        <f t="shared" si="34"/>
        <v>616.36977430338607</v>
      </c>
      <c r="BF63" s="104">
        <v>0</v>
      </c>
      <c r="BG63" s="302">
        <f t="shared" si="35"/>
        <v>616.36977430338607</v>
      </c>
      <c r="BI63" s="300">
        <f t="shared" si="36"/>
        <v>273.97080513246732</v>
      </c>
      <c r="BJ63" s="301">
        <f t="shared" si="37"/>
        <v>342.39896917091869</v>
      </c>
      <c r="BK63" s="1080">
        <f t="shared" si="38"/>
        <v>0</v>
      </c>
      <c r="BL63" s="301">
        <f t="shared" si="39"/>
        <v>616.36977430338607</v>
      </c>
      <c r="BM63" s="104">
        <v>0</v>
      </c>
      <c r="BN63" s="302">
        <f t="shared" si="40"/>
        <v>616.36977430338607</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5530.0447739945357</v>
      </c>
      <c r="Y64" s="908">
        <f>Parameters!S165</f>
        <v>0.71500000000000008</v>
      </c>
      <c r="Z64" s="908">
        <f t="shared" si="9"/>
        <v>0.4</v>
      </c>
      <c r="AA64" s="906">
        <f t="shared" si="10"/>
        <v>790.79640268121864</v>
      </c>
      <c r="AB64" s="906">
        <f t="shared" si="11"/>
        <v>790.79640268121864</v>
      </c>
      <c r="AC64" s="286">
        <f t="shared" si="12"/>
        <v>0</v>
      </c>
      <c r="AD64" s="906">
        <f t="shared" si="13"/>
        <v>11048.460069097591</v>
      </c>
      <c r="AE64" s="906">
        <f t="shared" si="14"/>
        <v>525.92166243367387</v>
      </c>
      <c r="AF64" s="915">
        <f t="shared" si="15"/>
        <v>350.61444162244925</v>
      </c>
      <c r="AG64" s="1450">
        <f t="shared" si="16"/>
        <v>0.13527885904981399</v>
      </c>
      <c r="AH64" s="914">
        <f>'Baseline data (from input)'!AS50*AG64</f>
        <v>5530.0447739945357</v>
      </c>
      <c r="AI64" s="908">
        <f>Parameters!S165</f>
        <v>0.71500000000000008</v>
      </c>
      <c r="AJ64" s="908">
        <f t="shared" si="17"/>
        <v>0.4</v>
      </c>
      <c r="AK64" s="906">
        <f t="shared" si="18"/>
        <v>790.79640268121864</v>
      </c>
      <c r="AL64" s="906">
        <f t="shared" si="19"/>
        <v>790.79640268121864</v>
      </c>
      <c r="AM64" s="286">
        <f t="shared" si="20"/>
        <v>0</v>
      </c>
      <c r="AN64" s="906">
        <f t="shared" si="21"/>
        <v>11048.460069097591</v>
      </c>
      <c r="AO64" s="906">
        <f t="shared" si="22"/>
        <v>525.92166243367387</v>
      </c>
      <c r="AP64" s="915">
        <f t="shared" si="23"/>
        <v>350.61444162244925</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350.61444162244925</v>
      </c>
      <c r="BD64" s="1080">
        <f t="shared" si="33"/>
        <v>0</v>
      </c>
      <c r="BE64" s="301">
        <f t="shared" si="34"/>
        <v>633.79799234458801</v>
      </c>
      <c r="BF64" s="104">
        <v>0</v>
      </c>
      <c r="BG64" s="302">
        <f t="shared" si="35"/>
        <v>633.79799234458801</v>
      </c>
      <c r="BI64" s="300">
        <f t="shared" si="36"/>
        <v>283.18355072213882</v>
      </c>
      <c r="BJ64" s="301">
        <f t="shared" si="37"/>
        <v>350.61444162244925</v>
      </c>
      <c r="BK64" s="1080">
        <f t="shared" si="38"/>
        <v>0</v>
      </c>
      <c r="BL64" s="301">
        <f t="shared" si="39"/>
        <v>633.79799234458801</v>
      </c>
      <c r="BM64" s="104">
        <v>0</v>
      </c>
      <c r="BN64" s="302">
        <f t="shared" si="40"/>
        <v>633.79799234458801</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5701.4759086017139</v>
      </c>
      <c r="Y65" s="908">
        <f>Parameters!S166</f>
        <v>0.71500000000000008</v>
      </c>
      <c r="Z65" s="908">
        <f t="shared" si="9"/>
        <v>0.4</v>
      </c>
      <c r="AA65" s="906">
        <f t="shared" si="10"/>
        <v>815.31105493004509</v>
      </c>
      <c r="AB65" s="906">
        <f t="shared" si="11"/>
        <v>815.31105493004509</v>
      </c>
      <c r="AC65" s="286">
        <f t="shared" si="12"/>
        <v>0</v>
      </c>
      <c r="AD65" s="906">
        <f t="shared" si="13"/>
        <v>11324.931368076866</v>
      </c>
      <c r="AE65" s="906">
        <f t="shared" si="14"/>
        <v>538.8397559507705</v>
      </c>
      <c r="AF65" s="915">
        <f t="shared" si="15"/>
        <v>359.22650396718035</v>
      </c>
      <c r="AG65" s="1450">
        <f t="shared" si="16"/>
        <v>0.13527885904981399</v>
      </c>
      <c r="AH65" s="914">
        <f>'Baseline data (from input)'!AS51*AG65</f>
        <v>5701.4759086017139</v>
      </c>
      <c r="AI65" s="908">
        <f>Parameters!S166</f>
        <v>0.71500000000000008</v>
      </c>
      <c r="AJ65" s="908">
        <f t="shared" si="17"/>
        <v>0.4</v>
      </c>
      <c r="AK65" s="906">
        <f t="shared" si="18"/>
        <v>815.31105493004509</v>
      </c>
      <c r="AL65" s="906">
        <f t="shared" si="19"/>
        <v>815.31105493004509</v>
      </c>
      <c r="AM65" s="286">
        <f t="shared" si="20"/>
        <v>0</v>
      </c>
      <c r="AN65" s="906">
        <f t="shared" si="21"/>
        <v>11324.931368076866</v>
      </c>
      <c r="AO65" s="906">
        <f t="shared" si="22"/>
        <v>538.8397559507705</v>
      </c>
      <c r="AP65" s="915">
        <f t="shared" si="23"/>
        <v>359.22650396718035</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359.22650396718035</v>
      </c>
      <c r="BD65" s="1080">
        <f t="shared" si="33"/>
        <v>0</v>
      </c>
      <c r="BE65" s="301">
        <f t="shared" si="34"/>
        <v>651.66083360466996</v>
      </c>
      <c r="BF65" s="104">
        <v>0</v>
      </c>
      <c r="BG65" s="302">
        <f t="shared" si="35"/>
        <v>651.66083360466996</v>
      </c>
      <c r="BI65" s="300">
        <f t="shared" si="36"/>
        <v>292.43432963748961</v>
      </c>
      <c r="BJ65" s="301">
        <f t="shared" si="37"/>
        <v>359.22650396718035</v>
      </c>
      <c r="BK65" s="1080">
        <f t="shared" si="38"/>
        <v>0</v>
      </c>
      <c r="BL65" s="301">
        <f t="shared" si="39"/>
        <v>651.66083360466996</v>
      </c>
      <c r="BM65" s="104">
        <v>0</v>
      </c>
      <c r="BN65" s="302">
        <f t="shared" si="40"/>
        <v>651.66083360466996</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5946.6393134332529</v>
      </c>
      <c r="Y66" s="908">
        <f>Parameters!S167</f>
        <v>0.71500000000000008</v>
      </c>
      <c r="Z66" s="908">
        <f t="shared" si="9"/>
        <v>0.4</v>
      </c>
      <c r="AA66" s="906">
        <f t="shared" si="10"/>
        <v>850.36942182095527</v>
      </c>
      <c r="AB66" s="906">
        <f t="shared" si="11"/>
        <v>850.36942182095527</v>
      </c>
      <c r="AC66" s="286">
        <f t="shared" si="12"/>
        <v>0</v>
      </c>
      <c r="AD66" s="906">
        <f t="shared" si="13"/>
        <v>11622.977369586797</v>
      </c>
      <c r="AE66" s="906">
        <f t="shared" si="14"/>
        <v>552.32342031102496</v>
      </c>
      <c r="AF66" s="915">
        <f t="shared" si="15"/>
        <v>368.21561354068331</v>
      </c>
      <c r="AG66" s="1450">
        <f t="shared" si="16"/>
        <v>0.13527885904981399</v>
      </c>
      <c r="AH66" s="914">
        <f>'Baseline data (from input)'!AS52*AG66</f>
        <v>5946.6393134332529</v>
      </c>
      <c r="AI66" s="908">
        <f>Parameters!S167</f>
        <v>0.71500000000000008</v>
      </c>
      <c r="AJ66" s="908">
        <f t="shared" si="17"/>
        <v>0.4</v>
      </c>
      <c r="AK66" s="906">
        <f t="shared" si="18"/>
        <v>850.36942182095527</v>
      </c>
      <c r="AL66" s="906">
        <f t="shared" si="19"/>
        <v>850.36942182095527</v>
      </c>
      <c r="AM66" s="286">
        <f t="shared" si="20"/>
        <v>0</v>
      </c>
      <c r="AN66" s="906">
        <f t="shared" si="21"/>
        <v>11622.977369586797</v>
      </c>
      <c r="AO66" s="906">
        <f t="shared" si="22"/>
        <v>552.32342031102496</v>
      </c>
      <c r="AP66" s="915">
        <f t="shared" si="23"/>
        <v>368.21561354068331</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368.21561354068331</v>
      </c>
      <c r="BD66" s="1080">
        <f t="shared" si="33"/>
        <v>0</v>
      </c>
      <c r="BE66" s="301">
        <f t="shared" si="34"/>
        <v>669.95376780304787</v>
      </c>
      <c r="BF66" s="104">
        <v>0</v>
      </c>
      <c r="BG66" s="302">
        <f t="shared" si="35"/>
        <v>669.95376780304787</v>
      </c>
      <c r="BI66" s="300">
        <f t="shared" si="36"/>
        <v>301.73815426236462</v>
      </c>
      <c r="BJ66" s="301">
        <f t="shared" si="37"/>
        <v>368.21561354068331</v>
      </c>
      <c r="BK66" s="1080">
        <f t="shared" si="38"/>
        <v>0</v>
      </c>
      <c r="BL66" s="301">
        <f t="shared" si="39"/>
        <v>669.95376780304787</v>
      </c>
      <c r="BM66" s="104">
        <v>0</v>
      </c>
      <c r="BN66" s="302">
        <f t="shared" si="40"/>
        <v>669.95376780304787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6101.2520614134064</v>
      </c>
      <c r="Y67" s="908">
        <f>Parameters!S168</f>
        <v>0.71500000000000008</v>
      </c>
      <c r="Z67" s="908">
        <f t="shared" si="9"/>
        <v>0.4</v>
      </c>
      <c r="AA67" s="906">
        <f t="shared" si="10"/>
        <v>872.47904478211717</v>
      </c>
      <c r="AB67" s="906">
        <f t="shared" si="11"/>
        <v>872.47904478211717</v>
      </c>
      <c r="AC67" s="286">
        <f t="shared" si="12"/>
        <v>0</v>
      </c>
      <c r="AD67" s="906">
        <f t="shared" si="13"/>
        <v>11928.59711903899</v>
      </c>
      <c r="AE67" s="906">
        <f t="shared" si="14"/>
        <v>566.85929532992532</v>
      </c>
      <c r="AF67" s="915">
        <f t="shared" si="15"/>
        <v>377.9061968866169</v>
      </c>
      <c r="AG67" s="1450">
        <f t="shared" si="16"/>
        <v>0.13527885904981399</v>
      </c>
      <c r="AH67" s="914">
        <f>'Baseline data (from input)'!AS53*AG67</f>
        <v>6101.2520614134064</v>
      </c>
      <c r="AI67" s="908">
        <f>Parameters!S168</f>
        <v>0.71500000000000008</v>
      </c>
      <c r="AJ67" s="908">
        <f t="shared" si="17"/>
        <v>0.4</v>
      </c>
      <c r="AK67" s="906">
        <f t="shared" si="18"/>
        <v>872.47904478211717</v>
      </c>
      <c r="AL67" s="906">
        <f t="shared" si="19"/>
        <v>872.47904478211717</v>
      </c>
      <c r="AM67" s="286">
        <f t="shared" si="20"/>
        <v>0</v>
      </c>
      <c r="AN67" s="906">
        <f t="shared" si="21"/>
        <v>11928.59711903899</v>
      </c>
      <c r="AO67" s="906">
        <f t="shared" si="22"/>
        <v>566.85929532992532</v>
      </c>
      <c r="AP67" s="915">
        <f t="shared" si="23"/>
        <v>377.9061968866169</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377.9061968866169</v>
      </c>
      <c r="BD67" s="1080">
        <f t="shared" si="33"/>
        <v>0</v>
      </c>
      <c r="BE67" s="301">
        <f t="shared" si="34"/>
        <v>689.02453775339029</v>
      </c>
      <c r="BF67" s="104">
        <v>0</v>
      </c>
      <c r="BG67" s="302">
        <f t="shared" si="35"/>
        <v>689.02453775339029</v>
      </c>
      <c r="BI67" s="300">
        <f t="shared" si="36"/>
        <v>311.11834086677339</v>
      </c>
      <c r="BJ67" s="301">
        <f t="shared" si="37"/>
        <v>377.9061968866169</v>
      </c>
      <c r="BK67" s="1080">
        <f t="shared" si="38"/>
        <v>0</v>
      </c>
      <c r="BL67" s="301">
        <f t="shared" si="39"/>
        <v>689.02453775339029</v>
      </c>
      <c r="BM67" s="104">
        <v>0</v>
      </c>
      <c r="BN67" s="302">
        <f t="shared" si="40"/>
        <v>689.02453775339029</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6131.7583769368039</v>
      </c>
      <c r="Y68" s="908">
        <f>Parameters!S169</f>
        <v>0.71500000000000008</v>
      </c>
      <c r="Z68" s="908">
        <f t="shared" si="9"/>
        <v>0.4</v>
      </c>
      <c r="AA68" s="906">
        <f t="shared" si="10"/>
        <v>876.84144790196297</v>
      </c>
      <c r="AB68" s="906">
        <f t="shared" si="11"/>
        <v>876.84144790196297</v>
      </c>
      <c r="AC68" s="286">
        <f t="shared" si="12"/>
        <v>0</v>
      </c>
      <c r="AD68" s="906">
        <f t="shared" si="13"/>
        <v>12223.674020546297</v>
      </c>
      <c r="AE68" s="906">
        <f t="shared" si="14"/>
        <v>581.76454639465635</v>
      </c>
      <c r="AF68" s="915">
        <f t="shared" si="15"/>
        <v>387.84303092977092</v>
      </c>
      <c r="AG68" s="1450">
        <f t="shared" si="16"/>
        <v>0.13527885904981399</v>
      </c>
      <c r="AH68" s="914">
        <f>'Baseline data (from input)'!AS54*AG68</f>
        <v>6131.7583769368039</v>
      </c>
      <c r="AI68" s="908">
        <f>Parameters!S169</f>
        <v>0.71500000000000008</v>
      </c>
      <c r="AJ68" s="908">
        <f t="shared" si="17"/>
        <v>0.4</v>
      </c>
      <c r="AK68" s="906">
        <f t="shared" si="18"/>
        <v>876.84144790196297</v>
      </c>
      <c r="AL68" s="906">
        <f t="shared" si="19"/>
        <v>876.84144790196297</v>
      </c>
      <c r="AM68" s="286">
        <f t="shared" si="20"/>
        <v>0</v>
      </c>
      <c r="AN68" s="906">
        <f t="shared" si="21"/>
        <v>12223.674020546297</v>
      </c>
      <c r="AO68" s="906">
        <f t="shared" si="22"/>
        <v>581.76454639465635</v>
      </c>
      <c r="AP68" s="915">
        <f t="shared" si="23"/>
        <v>387.84303092977092</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387.84303092977092</v>
      </c>
      <c r="BD68" s="1080">
        <f t="shared" si="33"/>
        <v>0</v>
      </c>
      <c r="BE68" s="301">
        <f t="shared" si="34"/>
        <v>708.44190671234219</v>
      </c>
      <c r="BF68" s="104">
        <v>0</v>
      </c>
      <c r="BG68" s="302">
        <f t="shared" si="35"/>
        <v>708.44190671234219</v>
      </c>
      <c r="BI68" s="300">
        <f t="shared" si="36"/>
        <v>320.59887578257127</v>
      </c>
      <c r="BJ68" s="301">
        <f t="shared" si="37"/>
        <v>387.84303092977092</v>
      </c>
      <c r="BK68" s="1080">
        <f t="shared" si="38"/>
        <v>0</v>
      </c>
      <c r="BL68" s="301">
        <f t="shared" si="39"/>
        <v>708.44190671234219</v>
      </c>
      <c r="BM68" s="104">
        <v>0</v>
      </c>
      <c r="BN68" s="302">
        <f t="shared" si="40"/>
        <v>708.44190671234219</v>
      </c>
    </row>
    <row r="69" spans="1:66" ht="1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6278.9203477357596</v>
      </c>
      <c r="Y69" s="908">
        <f>Parameters!S170</f>
        <v>0.71500000000000008</v>
      </c>
      <c r="Z69" s="908">
        <f t="shared" si="9"/>
        <v>0.4</v>
      </c>
      <c r="AA69" s="906">
        <f t="shared" si="10"/>
        <v>897.88560972621383</v>
      </c>
      <c r="AB69" s="906">
        <f t="shared" si="11"/>
        <v>897.88560972621383</v>
      </c>
      <c r="AC69" s="286">
        <f t="shared" si="12"/>
        <v>0</v>
      </c>
      <c r="AD69" s="906">
        <f t="shared" si="13"/>
        <v>12525.404013574798</v>
      </c>
      <c r="AE69" s="906">
        <f t="shared" si="14"/>
        <v>596.15561669771387</v>
      </c>
      <c r="AF69" s="915">
        <f t="shared" si="15"/>
        <v>397.43707779847591</v>
      </c>
      <c r="AG69" s="1450">
        <f t="shared" si="16"/>
        <v>0.13527885904981399</v>
      </c>
      <c r="AH69" s="914">
        <f>'Baseline data (from input)'!AS55*AG69</f>
        <v>6278.9203477357596</v>
      </c>
      <c r="AI69" s="917">
        <f>Parameters!S170</f>
        <v>0.71500000000000008</v>
      </c>
      <c r="AJ69" s="917">
        <f t="shared" si="17"/>
        <v>0.4</v>
      </c>
      <c r="AK69" s="918">
        <f t="shared" si="18"/>
        <v>897.88560972621383</v>
      </c>
      <c r="AL69" s="918">
        <f t="shared" si="19"/>
        <v>897.88560972621383</v>
      </c>
      <c r="AM69" s="919">
        <f t="shared" si="20"/>
        <v>0</v>
      </c>
      <c r="AN69" s="918">
        <f t="shared" si="21"/>
        <v>12525.404013574798</v>
      </c>
      <c r="AO69" s="918">
        <f t="shared" si="22"/>
        <v>596.15561669771387</v>
      </c>
      <c r="AP69" s="920">
        <f t="shared" si="23"/>
        <v>397.43707779847591</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397.43707779847591</v>
      </c>
      <c r="BD69" s="1080">
        <f t="shared" si="33"/>
        <v>0</v>
      </c>
      <c r="BE69" s="301">
        <f t="shared" si="34"/>
        <v>727.64085811938276</v>
      </c>
      <c r="BF69" s="104">
        <v>0</v>
      </c>
      <c r="BG69" s="302">
        <f t="shared" si="35"/>
        <v>727.64085811938276</v>
      </c>
      <c r="BI69" s="300">
        <f t="shared" si="36"/>
        <v>330.2037803209069</v>
      </c>
      <c r="BJ69" s="301">
        <f t="shared" si="37"/>
        <v>397.43707779847591</v>
      </c>
      <c r="BK69" s="1080">
        <f t="shared" si="38"/>
        <v>0</v>
      </c>
      <c r="BL69" s="301">
        <f t="shared" si="39"/>
        <v>727.64085811938276</v>
      </c>
      <c r="BM69" s="104">
        <v>0</v>
      </c>
      <c r="BN69" s="302">
        <f t="shared" si="40"/>
        <v>727.64085811938276</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6542.6352205959338</v>
      </c>
      <c r="Y70" s="888">
        <f>Parameters!S171</f>
        <v>0.71500000000000008</v>
      </c>
      <c r="Z70" s="888">
        <f t="shared" si="9"/>
        <v>0.4</v>
      </c>
      <c r="AA70" s="889">
        <f t="shared" si="10"/>
        <v>935.59683654521882</v>
      </c>
      <c r="AB70" s="889">
        <f t="shared" si="11"/>
        <v>935.59683654521882</v>
      </c>
      <c r="AC70" s="890">
        <f t="shared" si="12"/>
        <v>0</v>
      </c>
      <c r="AD70" s="889">
        <f t="shared" si="13"/>
        <v>12850.129688016908</v>
      </c>
      <c r="AE70" s="889">
        <f t="shared" si="14"/>
        <v>610.87116210310944</v>
      </c>
      <c r="AF70" s="896">
        <f t="shared" si="15"/>
        <v>407.24744140207298</v>
      </c>
      <c r="AG70" s="1459">
        <f t="shared" si="16"/>
        <v>0.13527885904981399</v>
      </c>
      <c r="AH70" s="887">
        <f>'Baseline data (from input)'!AS56*AG70</f>
        <v>6542.6352205959338</v>
      </c>
      <c r="AI70" s="888">
        <f>Parameters!S171</f>
        <v>0.71500000000000008</v>
      </c>
      <c r="AJ70" s="888">
        <f t="shared" si="17"/>
        <v>0.4</v>
      </c>
      <c r="AK70" s="889">
        <f t="shared" si="18"/>
        <v>935.59683654521882</v>
      </c>
      <c r="AL70" s="889">
        <f t="shared" si="19"/>
        <v>935.59683654521882</v>
      </c>
      <c r="AM70" s="890">
        <f t="shared" si="20"/>
        <v>0</v>
      </c>
      <c r="AN70" s="889">
        <f t="shared" si="21"/>
        <v>12850.129688016908</v>
      </c>
      <c r="AO70" s="889">
        <f t="shared" si="22"/>
        <v>610.87116210310944</v>
      </c>
      <c r="AP70" s="896">
        <f t="shared" si="23"/>
        <v>407.24744140207298</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407.24744140207298</v>
      </c>
      <c r="BD70" s="1603">
        <f>AZ70</f>
        <v>0</v>
      </c>
      <c r="BE70" s="1602">
        <f t="shared" si="34"/>
        <v>747.20394806508398</v>
      </c>
      <c r="BF70" s="495">
        <v>0</v>
      </c>
      <c r="BG70" s="1604">
        <f t="shared" si="35"/>
        <v>747.20394806508398</v>
      </c>
      <c r="BI70" s="1601">
        <f t="shared" si="36"/>
        <v>339.95650666301094</v>
      </c>
      <c r="BJ70" s="1602">
        <f t="shared" si="37"/>
        <v>407.24744140207298</v>
      </c>
      <c r="BK70" s="1603">
        <f t="shared" si="38"/>
        <v>0</v>
      </c>
      <c r="BL70" s="1602">
        <f t="shared" si="39"/>
        <v>747.20394806508398</v>
      </c>
      <c r="BM70" s="495">
        <v>0</v>
      </c>
      <c r="BN70" s="1604">
        <f t="shared" si="40"/>
        <v>747.20394806508398</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6719.286016090653</v>
      </c>
      <c r="Y71" s="885">
        <f>Parameters!S172</f>
        <v>0.71500000000000008</v>
      </c>
      <c r="Z71" s="885">
        <f t="shared" si="9"/>
        <v>0.4</v>
      </c>
      <c r="AA71" s="884">
        <f t="shared" si="10"/>
        <v>960.85790030096359</v>
      </c>
      <c r="AB71" s="884">
        <f t="shared" si="11"/>
        <v>960.85790030096359</v>
      </c>
      <c r="AC71" s="886">
        <f t="shared" si="12"/>
        <v>0</v>
      </c>
      <c r="AD71" s="884">
        <f t="shared" si="13"/>
        <v>13184.279368192827</v>
      </c>
      <c r="AE71" s="884">
        <f t="shared" si="14"/>
        <v>626.70822012504493</v>
      </c>
      <c r="AF71" s="897">
        <f t="shared" si="15"/>
        <v>417.80548008336331</v>
      </c>
      <c r="AG71" s="1460">
        <f t="shared" si="16"/>
        <v>0.13527885904981399</v>
      </c>
      <c r="AH71" s="891">
        <f>'Baseline data (from input)'!AS57*AG71</f>
        <v>6719.286016090653</v>
      </c>
      <c r="AI71" s="885">
        <f>Parameters!S172</f>
        <v>0.71500000000000008</v>
      </c>
      <c r="AJ71" s="885">
        <f t="shared" si="17"/>
        <v>0.4</v>
      </c>
      <c r="AK71" s="884">
        <f t="shared" si="18"/>
        <v>960.85790030096359</v>
      </c>
      <c r="AL71" s="884">
        <f t="shared" si="19"/>
        <v>960.85790030096359</v>
      </c>
      <c r="AM71" s="886">
        <f t="shared" si="20"/>
        <v>0</v>
      </c>
      <c r="AN71" s="884">
        <f t="shared" si="21"/>
        <v>13184.279368192827</v>
      </c>
      <c r="AO71" s="884">
        <f t="shared" si="22"/>
        <v>626.70822012504493</v>
      </c>
      <c r="AP71" s="897">
        <f t="shared" si="23"/>
        <v>417.80548008336331</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417.80548008336331</v>
      </c>
      <c r="BD71" s="1607">
        <f t="shared" ref="BD71:BD87" si="48">AZ71</f>
        <v>0.48626614457152323</v>
      </c>
      <c r="BE71" s="1606">
        <f t="shared" si="34"/>
        <v>770.79556857193893</v>
      </c>
      <c r="BF71" s="1608">
        <v>0</v>
      </c>
      <c r="BG71" s="1609">
        <f t="shared" si="35"/>
        <v>770.79556857193893</v>
      </c>
      <c r="BI71" s="1605">
        <f t="shared" si="36"/>
        <v>352.50382234400405</v>
      </c>
      <c r="BJ71" s="1606">
        <f t="shared" si="37"/>
        <v>417.80548008336331</v>
      </c>
      <c r="BK71" s="1607">
        <f t="shared" si="38"/>
        <v>0.48626614457152323</v>
      </c>
      <c r="BL71" s="1606">
        <f t="shared" si="39"/>
        <v>770.79556857193893</v>
      </c>
      <c r="BM71" s="1608">
        <v>0</v>
      </c>
      <c r="BN71" s="1609">
        <f t="shared" si="40"/>
        <v>770.79556857193893</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6967.9252900104757</v>
      </c>
      <c r="Y72" s="885">
        <f>Parameters!S173</f>
        <v>0.71500000000000008</v>
      </c>
      <c r="Z72" s="885">
        <f t="shared" si="9"/>
        <v>0.4</v>
      </c>
      <c r="AA72" s="884">
        <f t="shared" si="10"/>
        <v>996.41331647149809</v>
      </c>
      <c r="AB72" s="884">
        <f t="shared" si="11"/>
        <v>996.41331647149809</v>
      </c>
      <c r="AC72" s="886">
        <f t="shared" si="12"/>
        <v>0</v>
      </c>
      <c r="AD72" s="884">
        <f t="shared" si="13"/>
        <v>13537.687792334198</v>
      </c>
      <c r="AE72" s="884">
        <f t="shared" si="14"/>
        <v>643.00489233012684</v>
      </c>
      <c r="AF72" s="897">
        <f t="shared" si="15"/>
        <v>428.66992822008456</v>
      </c>
      <c r="AG72" s="1460">
        <f t="shared" si="16"/>
        <v>0.13527885904981399</v>
      </c>
      <c r="AH72" s="891">
        <f>'Baseline data (from input)'!AS58*AG72</f>
        <v>6967.9252900104757</v>
      </c>
      <c r="AI72" s="885">
        <f>Parameters!S173</f>
        <v>0.71500000000000008</v>
      </c>
      <c r="AJ72" s="885">
        <f t="shared" si="17"/>
        <v>0.4</v>
      </c>
      <c r="AK72" s="884">
        <f t="shared" si="18"/>
        <v>996.41331647149809</v>
      </c>
      <c r="AL72" s="884">
        <f t="shared" si="19"/>
        <v>996.41331647149809</v>
      </c>
      <c r="AM72" s="886">
        <f t="shared" si="20"/>
        <v>0</v>
      </c>
      <c r="AN72" s="884">
        <f t="shared" si="21"/>
        <v>13537.687792334198</v>
      </c>
      <c r="AO72" s="884">
        <f t="shared" si="22"/>
        <v>643.00489233012684</v>
      </c>
      <c r="AP72" s="897">
        <f t="shared" si="23"/>
        <v>428.66992822008456</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428.66992822008456</v>
      </c>
      <c r="BD72" s="1607">
        <f t="shared" si="48"/>
        <v>0.94421435341173465</v>
      </c>
      <c r="BE72" s="1606">
        <f t="shared" si="34"/>
        <v>794.65574404270728</v>
      </c>
      <c r="BF72" s="1608">
        <v>0</v>
      </c>
      <c r="BG72" s="1609">
        <f t="shared" si="35"/>
        <v>794.65574404270728</v>
      </c>
      <c r="BI72" s="1605">
        <f t="shared" si="36"/>
        <v>365.04160146921089</v>
      </c>
      <c r="BJ72" s="1606">
        <f t="shared" si="37"/>
        <v>428.66992822008456</v>
      </c>
      <c r="BK72" s="1607">
        <f t="shared" si="38"/>
        <v>0.94421435341173465</v>
      </c>
      <c r="BL72" s="1606">
        <f t="shared" si="39"/>
        <v>794.65574404270728</v>
      </c>
      <c r="BM72" s="1608">
        <v>0</v>
      </c>
      <c r="BN72" s="1609">
        <f t="shared" si="40"/>
        <v>794.65574404270728</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6496.4456746839114</v>
      </c>
      <c r="Y73" s="885">
        <f>Parameters!S174</f>
        <v>0.71500000000000008</v>
      </c>
      <c r="Z73" s="885">
        <f t="shared" si="9"/>
        <v>0.4</v>
      </c>
      <c r="AA73" s="884">
        <f t="shared" si="10"/>
        <v>928.99173147979945</v>
      </c>
      <c r="AB73" s="884">
        <f t="shared" si="11"/>
        <v>928.99173147979945</v>
      </c>
      <c r="AC73" s="886">
        <f t="shared" si="12"/>
        <v>0</v>
      </c>
      <c r="AD73" s="884">
        <f t="shared" si="13"/>
        <v>13806.438699252201</v>
      </c>
      <c r="AE73" s="884">
        <f t="shared" si="14"/>
        <v>660.24082456179724</v>
      </c>
      <c r="AF73" s="897">
        <f t="shared" si="15"/>
        <v>440.16054970786485</v>
      </c>
      <c r="AG73" s="1460">
        <f>($AG$82-$AG$72)/($A$82-$A$72)+AG72</f>
        <v>0.12394828525545966</v>
      </c>
      <c r="AH73" s="891">
        <f>'Baseline data (from input)'!AS59*AG73</f>
        <v>6496.4456746839114</v>
      </c>
      <c r="AI73" s="885">
        <f>Parameters!S174</f>
        <v>0.71500000000000008</v>
      </c>
      <c r="AJ73" s="885">
        <f t="shared" si="17"/>
        <v>0.4</v>
      </c>
      <c r="AK73" s="884">
        <f t="shared" si="18"/>
        <v>928.99173147979945</v>
      </c>
      <c r="AL73" s="884">
        <f t="shared" si="19"/>
        <v>928.99173147979945</v>
      </c>
      <c r="AM73" s="886">
        <f t="shared" si="20"/>
        <v>0</v>
      </c>
      <c r="AN73" s="884">
        <f t="shared" si="21"/>
        <v>13806.438699252201</v>
      </c>
      <c r="AO73" s="884">
        <f t="shared" si="22"/>
        <v>660.24082456179724</v>
      </c>
      <c r="AP73" s="897">
        <f t="shared" si="23"/>
        <v>440.16054970786485</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440.16054970786485</v>
      </c>
      <c r="BD73" s="1607">
        <f t="shared" si="48"/>
        <v>1.3754937347158787</v>
      </c>
      <c r="BE73" s="1606">
        <f t="shared" si="34"/>
        <v>818.91636386691971</v>
      </c>
      <c r="BF73" s="1608">
        <v>0</v>
      </c>
      <c r="BG73" s="1609">
        <f t="shared" si="35"/>
        <v>818.91636386691971</v>
      </c>
      <c r="BI73" s="1605">
        <f t="shared" si="36"/>
        <v>377.380320424339</v>
      </c>
      <c r="BJ73" s="1606">
        <f t="shared" si="37"/>
        <v>440.16054970786485</v>
      </c>
      <c r="BK73" s="1607">
        <f t="shared" si="38"/>
        <v>1.3754937347158787</v>
      </c>
      <c r="BL73" s="1606">
        <f t="shared" si="39"/>
        <v>818.91636386691971</v>
      </c>
      <c r="BM73" s="1608">
        <v>0</v>
      </c>
      <c r="BN73" s="1609">
        <f t="shared" si="40"/>
        <v>818.91636386691971</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6099.0828792375532</v>
      </c>
      <c r="Y74" s="885">
        <f>Parameters!S175</f>
        <v>0.71500000000000008</v>
      </c>
      <c r="Z74" s="885">
        <f t="shared" si="9"/>
        <v>0.4</v>
      </c>
      <c r="AA74" s="884">
        <f t="shared" si="10"/>
        <v>872.16885173097023</v>
      </c>
      <c r="AB74" s="884">
        <f t="shared" si="11"/>
        <v>872.16885173097023</v>
      </c>
      <c r="AC74" s="886">
        <f t="shared" si="12"/>
        <v>0</v>
      </c>
      <c r="AD74" s="884">
        <f t="shared" si="13"/>
        <v>14005.259590025029</v>
      </c>
      <c r="AE74" s="884">
        <f t="shared" si="14"/>
        <v>673.34796095814329</v>
      </c>
      <c r="AF74" s="897">
        <f t="shared" si="15"/>
        <v>448.89864063876217</v>
      </c>
      <c r="AG74" s="1460">
        <f t="shared" ref="AG74:AG81" si="51">($AG$82-$AG$72)/($A$82-$A$72)+AG73</f>
        <v>0.11261771146110533</v>
      </c>
      <c r="AH74" s="891">
        <f>'Baseline data (from input)'!AS60*AG74</f>
        <v>6099.0828792375532</v>
      </c>
      <c r="AI74" s="885">
        <f>Parameters!S175</f>
        <v>0.71500000000000008</v>
      </c>
      <c r="AJ74" s="885">
        <f t="shared" si="17"/>
        <v>0.4</v>
      </c>
      <c r="AK74" s="884">
        <f t="shared" si="18"/>
        <v>872.16885173097023</v>
      </c>
      <c r="AL74" s="884">
        <f t="shared" si="19"/>
        <v>872.16885173097023</v>
      </c>
      <c r="AM74" s="886">
        <f t="shared" si="20"/>
        <v>0</v>
      </c>
      <c r="AN74" s="884">
        <f t="shared" si="21"/>
        <v>14005.259590025029</v>
      </c>
      <c r="AO74" s="884">
        <f t="shared" si="22"/>
        <v>673.34796095814329</v>
      </c>
      <c r="AP74" s="897">
        <f t="shared" si="23"/>
        <v>448.89864063876217</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448.89864063876217</v>
      </c>
      <c r="BD74" s="1607">
        <f t="shared" si="48"/>
        <v>1.7816573600942787</v>
      </c>
      <c r="BE74" s="1606">
        <f t="shared" si="34"/>
        <v>840.18350622352068</v>
      </c>
      <c r="BF74" s="1608">
        <v>0</v>
      </c>
      <c r="BG74" s="1609">
        <f t="shared" si="35"/>
        <v>840.18350622352068</v>
      </c>
      <c r="BI74" s="1605">
        <f t="shared" si="36"/>
        <v>389.50320822466421</v>
      </c>
      <c r="BJ74" s="1606">
        <f t="shared" si="37"/>
        <v>448.89864063876217</v>
      </c>
      <c r="BK74" s="1607">
        <f t="shared" si="38"/>
        <v>1.7816573600942787</v>
      </c>
      <c r="BL74" s="1606">
        <f t="shared" si="39"/>
        <v>840.18350622352068</v>
      </c>
      <c r="BM74" s="1608">
        <v>0</v>
      </c>
      <c r="BN74" s="1609">
        <f t="shared" si="40"/>
        <v>840.18350622352068</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5706.4284712043</v>
      </c>
      <c r="Y75" s="885">
        <f>Parameters!S176</f>
        <v>0.71500000000000008</v>
      </c>
      <c r="Z75" s="885">
        <f t="shared" si="9"/>
        <v>0.4</v>
      </c>
      <c r="AA75" s="884">
        <f t="shared" si="10"/>
        <v>816.01927138221504</v>
      </c>
      <c r="AB75" s="884">
        <f t="shared" si="11"/>
        <v>816.01927138221504</v>
      </c>
      <c r="AC75" s="886">
        <f t="shared" si="12"/>
        <v>0</v>
      </c>
      <c r="AD75" s="884">
        <f t="shared" si="13"/>
        <v>14138.234291184828</v>
      </c>
      <c r="AE75" s="884">
        <f t="shared" si="14"/>
        <v>683.04457022241479</v>
      </c>
      <c r="AF75" s="897">
        <f t="shared" si="15"/>
        <v>455.36304681494317</v>
      </c>
      <c r="AG75" s="1460">
        <f t="shared" si="51"/>
        <v>0.101287137666751</v>
      </c>
      <c r="AH75" s="891">
        <f>'Baseline data (from input)'!AS61*AG75</f>
        <v>5706.4284712043</v>
      </c>
      <c r="AI75" s="885">
        <f>Parameters!S176</f>
        <v>0.71500000000000008</v>
      </c>
      <c r="AJ75" s="885">
        <f t="shared" si="17"/>
        <v>0.4</v>
      </c>
      <c r="AK75" s="884">
        <f t="shared" si="18"/>
        <v>816.01927138221504</v>
      </c>
      <c r="AL75" s="884">
        <f t="shared" si="19"/>
        <v>816.01927138221504</v>
      </c>
      <c r="AM75" s="886">
        <f t="shared" si="20"/>
        <v>0</v>
      </c>
      <c r="AN75" s="884">
        <f t="shared" si="21"/>
        <v>14138.234291184828</v>
      </c>
      <c r="AO75" s="884">
        <f t="shared" si="22"/>
        <v>683.04457022241479</v>
      </c>
      <c r="AP75" s="897">
        <f t="shared" si="23"/>
        <v>455.36304681494317</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455.36304681494317</v>
      </c>
      <c r="BD75" s="1607">
        <f t="shared" si="48"/>
        <v>2.1641678573076555</v>
      </c>
      <c r="BE75" s="1606">
        <f t="shared" si="34"/>
        <v>858.92549837785668</v>
      </c>
      <c r="BF75" s="1608">
        <v>0</v>
      </c>
      <c r="BG75" s="1609">
        <f t="shared" si="35"/>
        <v>858.92549837785668</v>
      </c>
      <c r="BI75" s="1605">
        <f t="shared" si="36"/>
        <v>401.39828370560582</v>
      </c>
      <c r="BJ75" s="1606">
        <f t="shared" si="37"/>
        <v>455.36304681494317</v>
      </c>
      <c r="BK75" s="1607">
        <f t="shared" si="38"/>
        <v>2.1641678573076555</v>
      </c>
      <c r="BL75" s="1606">
        <f t="shared" si="39"/>
        <v>858.92549837785668</v>
      </c>
      <c r="BM75" s="1608">
        <v>0</v>
      </c>
      <c r="BN75" s="1609">
        <f t="shared" si="40"/>
        <v>858.92549837785668</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5287.8413483740942</v>
      </c>
      <c r="Y76" s="885">
        <f>Parameters!S177</f>
        <v>0.71500000000000008</v>
      </c>
      <c r="Z76" s="885">
        <f t="shared" si="9"/>
        <v>0.4</v>
      </c>
      <c r="AA76" s="884">
        <f t="shared" si="10"/>
        <v>756.16131281749551</v>
      </c>
      <c r="AB76" s="884">
        <f t="shared" si="11"/>
        <v>756.16131281749551</v>
      </c>
      <c r="AC76" s="886">
        <f t="shared" si="12"/>
        <v>0</v>
      </c>
      <c r="AD76" s="884">
        <f t="shared" si="13"/>
        <v>14204.8657810775</v>
      </c>
      <c r="AE76" s="884">
        <f t="shared" si="14"/>
        <v>689.52982292482375</v>
      </c>
      <c r="AF76" s="897">
        <f t="shared" si="15"/>
        <v>459.68654861654915</v>
      </c>
      <c r="AG76" s="1460">
        <f t="shared" si="51"/>
        <v>8.9956563872396672E-2</v>
      </c>
      <c r="AH76" s="891">
        <f>'Baseline data (from input)'!AS62*AG76</f>
        <v>5287.8413483740942</v>
      </c>
      <c r="AI76" s="885">
        <f>Parameters!S177</f>
        <v>0.71500000000000008</v>
      </c>
      <c r="AJ76" s="885">
        <f t="shared" si="17"/>
        <v>0.4</v>
      </c>
      <c r="AK76" s="884">
        <f t="shared" si="18"/>
        <v>756.16131281749551</v>
      </c>
      <c r="AL76" s="884">
        <f t="shared" si="19"/>
        <v>756.16131281749551</v>
      </c>
      <c r="AM76" s="886">
        <f t="shared" si="20"/>
        <v>0</v>
      </c>
      <c r="AN76" s="884">
        <f t="shared" si="21"/>
        <v>14204.8657810775</v>
      </c>
      <c r="AO76" s="884">
        <f t="shared" si="22"/>
        <v>689.52982292482375</v>
      </c>
      <c r="AP76" s="897">
        <f t="shared" si="23"/>
        <v>459.68654861654915</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459.68654861654915</v>
      </c>
      <c r="BD76" s="1607">
        <f t="shared" si="48"/>
        <v>2.5244026773068904</v>
      </c>
      <c r="BE76" s="1606">
        <f t="shared" si="34"/>
        <v>875.27701699343083</v>
      </c>
      <c r="BF76" s="1608">
        <v>0</v>
      </c>
      <c r="BG76" s="1609">
        <f t="shared" si="35"/>
        <v>875.27701699343083</v>
      </c>
      <c r="BI76" s="1605">
        <f t="shared" si="36"/>
        <v>413.06606569957484</v>
      </c>
      <c r="BJ76" s="1606">
        <f t="shared" si="37"/>
        <v>459.68654861654915</v>
      </c>
      <c r="BK76" s="1607">
        <f t="shared" si="38"/>
        <v>2.5244026773068904</v>
      </c>
      <c r="BL76" s="1606">
        <f t="shared" si="39"/>
        <v>875.27701699343083</v>
      </c>
      <c r="BM76" s="1608">
        <v>0</v>
      </c>
      <c r="BN76" s="1609">
        <f t="shared" si="40"/>
        <v>875.27701699343083</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4810.4007183137001</v>
      </c>
      <c r="Y77" s="885">
        <f>Parameters!S178</f>
        <v>0.71500000000000008</v>
      </c>
      <c r="Z77" s="885">
        <f t="shared" si="9"/>
        <v>0.4</v>
      </c>
      <c r="AA77" s="884">
        <f t="shared" si="10"/>
        <v>687.88730271885925</v>
      </c>
      <c r="AB77" s="884">
        <f t="shared" si="11"/>
        <v>687.88730271885925</v>
      </c>
      <c r="AC77" s="886">
        <f t="shared" si="12"/>
        <v>0</v>
      </c>
      <c r="AD77" s="884">
        <f t="shared" si="13"/>
        <v>14199.973604763094</v>
      </c>
      <c r="AE77" s="884">
        <f t="shared" si="14"/>
        <v>692.77947903326424</v>
      </c>
      <c r="AF77" s="897">
        <f t="shared" si="15"/>
        <v>461.85298602217614</v>
      </c>
      <c r="AG77" s="1460">
        <f t="shared" si="51"/>
        <v>7.8625990078042343E-2</v>
      </c>
      <c r="AH77" s="891">
        <f>'Baseline data (from input)'!AS63*AG77</f>
        <v>4810.4007183137001</v>
      </c>
      <c r="AI77" s="885">
        <f>Parameters!S178</f>
        <v>0.71500000000000008</v>
      </c>
      <c r="AJ77" s="885">
        <f t="shared" si="17"/>
        <v>0.4</v>
      </c>
      <c r="AK77" s="884">
        <f t="shared" si="18"/>
        <v>687.88730271885925</v>
      </c>
      <c r="AL77" s="884">
        <f t="shared" si="19"/>
        <v>687.88730271885925</v>
      </c>
      <c r="AM77" s="886">
        <f t="shared" si="20"/>
        <v>0</v>
      </c>
      <c r="AN77" s="884">
        <f t="shared" si="21"/>
        <v>14199.973604763094</v>
      </c>
      <c r="AO77" s="884">
        <f t="shared" si="22"/>
        <v>692.77947903326424</v>
      </c>
      <c r="AP77" s="897">
        <f t="shared" si="23"/>
        <v>461.85298602217614</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461.85298602217614</v>
      </c>
      <c r="BD77" s="1607">
        <f t="shared" si="48"/>
        <v>2.8636590545442755</v>
      </c>
      <c r="BE77" s="1606">
        <f t="shared" si="34"/>
        <v>889.23428451745849</v>
      </c>
      <c r="BF77" s="1608">
        <v>0</v>
      </c>
      <c r="BG77" s="1609">
        <f t="shared" si="35"/>
        <v>889.23428451745849</v>
      </c>
      <c r="BI77" s="1605">
        <f t="shared" si="36"/>
        <v>424.51763944073804</v>
      </c>
      <c r="BJ77" s="1606">
        <f t="shared" si="37"/>
        <v>461.85298602217614</v>
      </c>
      <c r="BK77" s="1607">
        <f t="shared" si="38"/>
        <v>2.8636590545442755</v>
      </c>
      <c r="BL77" s="1606">
        <f t="shared" si="39"/>
        <v>889.23428451745849</v>
      </c>
      <c r="BM77" s="1608">
        <v>0</v>
      </c>
      <c r="BN77" s="1609">
        <f t="shared" si="40"/>
        <v>889.23428451745849</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4196.3218881432249</v>
      </c>
      <c r="Y78" s="885">
        <f>Parameters!S179</f>
        <v>0.71500000000000008</v>
      </c>
      <c r="Z78" s="885">
        <f t="shared" si="9"/>
        <v>0.4</v>
      </c>
      <c r="AA78" s="884">
        <f t="shared" si="10"/>
        <v>600.07403000448119</v>
      </c>
      <c r="AB78" s="884">
        <f t="shared" si="11"/>
        <v>600.07403000448119</v>
      </c>
      <c r="AC78" s="886">
        <f t="shared" si="12"/>
        <v>0</v>
      </c>
      <c r="AD78" s="884">
        <f t="shared" si="13"/>
        <v>14107.50674998861</v>
      </c>
      <c r="AE78" s="884">
        <f t="shared" si="14"/>
        <v>692.54088477896664</v>
      </c>
      <c r="AF78" s="897">
        <f t="shared" si="15"/>
        <v>461.69392318597778</v>
      </c>
      <c r="AG78" s="1460">
        <f t="shared" si="51"/>
        <v>6.7295416283688014E-2</v>
      </c>
      <c r="AH78" s="891">
        <f>'Baseline data (from input)'!AS64*AG78</f>
        <v>4196.3218881432249</v>
      </c>
      <c r="AI78" s="885">
        <f>Parameters!S179</f>
        <v>0.71500000000000008</v>
      </c>
      <c r="AJ78" s="885">
        <f t="shared" si="17"/>
        <v>0.4</v>
      </c>
      <c r="AK78" s="884">
        <f t="shared" si="18"/>
        <v>600.07403000448119</v>
      </c>
      <c r="AL78" s="884">
        <f t="shared" si="19"/>
        <v>600.07403000448119</v>
      </c>
      <c r="AM78" s="886">
        <f t="shared" si="20"/>
        <v>0</v>
      </c>
      <c r="AN78" s="884">
        <f t="shared" si="21"/>
        <v>14107.50674998861</v>
      </c>
      <c r="AO78" s="884">
        <f t="shared" si="22"/>
        <v>692.54088477896664</v>
      </c>
      <c r="AP78" s="897">
        <f t="shared" si="23"/>
        <v>461.69392318597778</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461.69392318597778</v>
      </c>
      <c r="BD78" s="1607">
        <f t="shared" si="48"/>
        <v>3.183158678418724</v>
      </c>
      <c r="BE78" s="1606">
        <f t="shared" si="34"/>
        <v>900.63599752324797</v>
      </c>
      <c r="BF78" s="1608">
        <v>0</v>
      </c>
      <c r="BG78" s="1609">
        <f t="shared" si="35"/>
        <v>900.63599752324797</v>
      </c>
      <c r="BI78" s="1605">
        <f t="shared" si="36"/>
        <v>435.75891565885144</v>
      </c>
      <c r="BJ78" s="1606">
        <f t="shared" si="37"/>
        <v>461.69392318597778</v>
      </c>
      <c r="BK78" s="1607">
        <f t="shared" si="38"/>
        <v>3.183158678418724</v>
      </c>
      <c r="BL78" s="1606">
        <f t="shared" si="39"/>
        <v>900.63599752324797</v>
      </c>
      <c r="BM78" s="1608">
        <v>0</v>
      </c>
      <c r="BN78" s="1609">
        <f t="shared" si="40"/>
        <v>900.63599752324797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3393.3268299990286</v>
      </c>
      <c r="Y79" s="885">
        <f>Parameters!S180</f>
        <v>0.71500000000000008</v>
      </c>
      <c r="Z79" s="885">
        <f t="shared" si="9"/>
        <v>0.4</v>
      </c>
      <c r="AA79" s="884">
        <f t="shared" si="10"/>
        <v>485.24573668986119</v>
      </c>
      <c r="AB79" s="884">
        <f t="shared" si="11"/>
        <v>485.24573668986119</v>
      </c>
      <c r="AC79" s="886">
        <f t="shared" si="12"/>
        <v>0</v>
      </c>
      <c r="AD79" s="884">
        <f t="shared" si="13"/>
        <v>13904.721263621466</v>
      </c>
      <c r="AE79" s="884">
        <f t="shared" si="14"/>
        <v>688.03122305700617</v>
      </c>
      <c r="AF79" s="897">
        <f t="shared" si="15"/>
        <v>458.68748203800413</v>
      </c>
      <c r="AG79" s="1460">
        <f t="shared" si="51"/>
        <v>5.5964842489333685E-2</v>
      </c>
      <c r="AH79" s="891">
        <f>'Baseline data (from input)'!AS65*AG79</f>
        <v>3393.3268299990286</v>
      </c>
      <c r="AI79" s="885">
        <f>Parameters!S180</f>
        <v>0.71500000000000008</v>
      </c>
      <c r="AJ79" s="885">
        <f t="shared" si="17"/>
        <v>0.4</v>
      </c>
      <c r="AK79" s="884">
        <f t="shared" si="18"/>
        <v>485.24573668986119</v>
      </c>
      <c r="AL79" s="884">
        <f t="shared" si="19"/>
        <v>485.24573668986119</v>
      </c>
      <c r="AM79" s="886">
        <f t="shared" si="20"/>
        <v>0</v>
      </c>
      <c r="AN79" s="884">
        <f t="shared" si="21"/>
        <v>13904.721263621466</v>
      </c>
      <c r="AO79" s="884">
        <f t="shared" si="22"/>
        <v>688.03122305700617</v>
      </c>
      <c r="AP79" s="897">
        <f t="shared" si="23"/>
        <v>458.68748203800413</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458.68748203800413</v>
      </c>
      <c r="BD79" s="1607">
        <f t="shared" si="48"/>
        <v>3.484052092677187</v>
      </c>
      <c r="BE79" s="1606">
        <f t="shared" si="34"/>
        <v>908.97830463176604</v>
      </c>
      <c r="BF79" s="1608">
        <v>0</v>
      </c>
      <c r="BG79" s="1609">
        <f t="shared" si="35"/>
        <v>908.97830463176604</v>
      </c>
      <c r="BI79" s="1605">
        <f t="shared" si="36"/>
        <v>446.80677050108471</v>
      </c>
      <c r="BJ79" s="1606">
        <f t="shared" si="37"/>
        <v>458.68748203800413</v>
      </c>
      <c r="BK79" s="1607">
        <f t="shared" si="38"/>
        <v>3.484052092677187</v>
      </c>
      <c r="BL79" s="1606">
        <f t="shared" si="39"/>
        <v>908.97830463176604</v>
      </c>
      <c r="BM79" s="1608">
        <v>0</v>
      </c>
      <c r="BN79" s="1609">
        <f t="shared" si="40"/>
        <v>908.97830463176604</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2753.4255817461535</v>
      </c>
      <c r="Y80" s="885">
        <f>Parameters!S181</f>
        <v>0.71500000000000008</v>
      </c>
      <c r="Z80" s="885">
        <f t="shared" si="9"/>
        <v>0.4</v>
      </c>
      <c r="AA80" s="884">
        <f t="shared" si="10"/>
        <v>393.73985818969999</v>
      </c>
      <c r="AB80" s="884">
        <f t="shared" si="11"/>
        <v>393.73985818969999</v>
      </c>
      <c r="AC80" s="886">
        <f t="shared" si="12"/>
        <v>0</v>
      </c>
      <c r="AD80" s="884">
        <f t="shared" si="13"/>
        <v>13620.319863627188</v>
      </c>
      <c r="AE80" s="884">
        <f t="shared" si="14"/>
        <v>678.14125818397793</v>
      </c>
      <c r="AF80" s="897">
        <f t="shared" si="15"/>
        <v>452.09417212265197</v>
      </c>
      <c r="AG80" s="1460">
        <f t="shared" si="51"/>
        <v>4.4634268694979357E-2</v>
      </c>
      <c r="AH80" s="891">
        <f>'Baseline data (from input)'!AS66*AG80</f>
        <v>2753.4255817461535</v>
      </c>
      <c r="AI80" s="885">
        <f>Parameters!S181</f>
        <v>0.71500000000000008</v>
      </c>
      <c r="AJ80" s="885">
        <f t="shared" si="17"/>
        <v>0.4</v>
      </c>
      <c r="AK80" s="884">
        <f t="shared" si="18"/>
        <v>393.73985818969999</v>
      </c>
      <c r="AL80" s="884">
        <f t="shared" si="19"/>
        <v>393.73985818969999</v>
      </c>
      <c r="AM80" s="886">
        <f t="shared" si="20"/>
        <v>0</v>
      </c>
      <c r="AN80" s="884">
        <f t="shared" si="21"/>
        <v>13620.319863627188</v>
      </c>
      <c r="AO80" s="884">
        <f t="shared" si="22"/>
        <v>678.14125818397793</v>
      </c>
      <c r="AP80" s="897">
        <f t="shared" si="23"/>
        <v>452.09417212265197</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452.09417212265197</v>
      </c>
      <c r="BD80" s="1607">
        <f t="shared" si="48"/>
        <v>3.76742283861488</v>
      </c>
      <c r="BE80" s="1606">
        <f t="shared" si="34"/>
        <v>913.52627436617024</v>
      </c>
      <c r="BF80" s="1608">
        <v>0</v>
      </c>
      <c r="BG80" s="1609">
        <f t="shared" si="35"/>
        <v>913.52627436617024</v>
      </c>
      <c r="BI80" s="1605">
        <f t="shared" si="36"/>
        <v>457.66467940490338</v>
      </c>
      <c r="BJ80" s="1606">
        <f t="shared" si="37"/>
        <v>452.09417212265197</v>
      </c>
      <c r="BK80" s="1607">
        <f t="shared" si="38"/>
        <v>3.76742283861488</v>
      </c>
      <c r="BL80" s="1606">
        <f t="shared" si="39"/>
        <v>913.52627436617024</v>
      </c>
      <c r="BM80" s="1608">
        <v>0</v>
      </c>
      <c r="BN80" s="1609">
        <f t="shared" si="40"/>
        <v>913.52627436617024</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2094.8362599747988</v>
      </c>
      <c r="Y81" s="885">
        <f>Parameters!S182</f>
        <v>0.71500000000000008</v>
      </c>
      <c r="Z81" s="885">
        <f t="shared" si="9"/>
        <v>0.4</v>
      </c>
      <c r="AA81" s="884">
        <f t="shared" si="10"/>
        <v>299.56158517639625</v>
      </c>
      <c r="AB81" s="884">
        <f t="shared" si="11"/>
        <v>299.56158517639625</v>
      </c>
      <c r="AC81" s="886">
        <f t="shared" si="12"/>
        <v>0</v>
      </c>
      <c r="AD81" s="884">
        <f t="shared" si="13"/>
        <v>13255.610610570129</v>
      </c>
      <c r="AE81" s="884">
        <f t="shared" si="14"/>
        <v>664.27083823345436</v>
      </c>
      <c r="AF81" s="897">
        <f t="shared" si="15"/>
        <v>442.84722548896957</v>
      </c>
      <c r="AG81" s="1460">
        <f t="shared" si="51"/>
        <v>3.3303694900625028E-2</v>
      </c>
      <c r="AH81" s="891">
        <f>'Baseline data (from input)'!AS67*AG81</f>
        <v>2094.8362599747988</v>
      </c>
      <c r="AI81" s="885">
        <f>Parameters!S182</f>
        <v>0.71500000000000008</v>
      </c>
      <c r="AJ81" s="885">
        <f t="shared" si="17"/>
        <v>0.4</v>
      </c>
      <c r="AK81" s="884">
        <f t="shared" si="18"/>
        <v>299.56158517639625</v>
      </c>
      <c r="AL81" s="884">
        <f t="shared" si="19"/>
        <v>299.56158517639625</v>
      </c>
      <c r="AM81" s="886">
        <f t="shared" si="20"/>
        <v>0</v>
      </c>
      <c r="AN81" s="884">
        <f t="shared" si="21"/>
        <v>13255.610610570129</v>
      </c>
      <c r="AO81" s="884">
        <f t="shared" si="22"/>
        <v>664.27083823345436</v>
      </c>
      <c r="AP81" s="897">
        <f t="shared" si="23"/>
        <v>442.84722548896957</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442.84722548896957</v>
      </c>
      <c r="BD81" s="1607">
        <f t="shared" si="48"/>
        <v>4.034291356994312</v>
      </c>
      <c r="BE81" s="1606">
        <f t="shared" si="34"/>
        <v>912.46544774098629</v>
      </c>
      <c r="BF81" s="1608">
        <v>0</v>
      </c>
      <c r="BG81" s="1609">
        <f t="shared" si="35"/>
        <v>912.46544774098629</v>
      </c>
      <c r="BI81" s="1605">
        <f t="shared" si="36"/>
        <v>465.58393089502232</v>
      </c>
      <c r="BJ81" s="1606">
        <f t="shared" si="37"/>
        <v>442.84722548896957</v>
      </c>
      <c r="BK81" s="1607">
        <f t="shared" si="38"/>
        <v>4.034291356994312</v>
      </c>
      <c r="BL81" s="1606">
        <f t="shared" si="39"/>
        <v>912.46544774098629</v>
      </c>
      <c r="BM81" s="1608">
        <v>0</v>
      </c>
      <c r="BN81" s="1609">
        <f t="shared" si="40"/>
        <v>912.46544774098629</v>
      </c>
    </row>
    <row r="82" spans="1:66">
      <c r="A82" s="819">
        <f>'Input data'!A112</f>
        <v>2012</v>
      </c>
      <c r="B82" s="867">
        <f>'Input data'!B112</f>
        <v>52.325000000000003</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18374.59528039318</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808.03671174097656</v>
      </c>
      <c r="R82" s="884">
        <f t="shared" si="3"/>
        <v>808.03671174097656</v>
      </c>
      <c r="S82" s="886">
        <f t="shared" si="4"/>
        <v>0</v>
      </c>
      <c r="T82" s="884">
        <f t="shared" si="5"/>
        <v>14602.667395849543</v>
      </c>
      <c r="U82" s="884">
        <f t="shared" si="6"/>
        <v>707.26583927658862</v>
      </c>
      <c r="V82" s="897">
        <f t="shared" si="7"/>
        <v>471.51055951772577</v>
      </c>
      <c r="W82" s="1457">
        <f>D13</f>
        <v>2.197312110627072E-2</v>
      </c>
      <c r="X82" s="891">
        <f>'Baseline data (from input)'!AS68*W82</f>
        <v>1394.4586468111293</v>
      </c>
      <c r="Y82" s="885">
        <f>Parameters!S183</f>
        <v>0.71500000000000008</v>
      </c>
      <c r="Z82" s="885">
        <f t="shared" si="9"/>
        <v>0.4</v>
      </c>
      <c r="AA82" s="884">
        <f t="shared" si="10"/>
        <v>199.40758649399152</v>
      </c>
      <c r="AB82" s="884">
        <f t="shared" si="11"/>
        <v>199.40758649399152</v>
      </c>
      <c r="AC82" s="886">
        <f t="shared" si="12"/>
        <v>0</v>
      </c>
      <c r="AD82" s="884">
        <f t="shared" si="13"/>
        <v>12808.534438992174</v>
      </c>
      <c r="AE82" s="884">
        <f t="shared" si="14"/>
        <v>646.48375807194691</v>
      </c>
      <c r="AF82" s="897">
        <f t="shared" si="15"/>
        <v>430.98917204796459</v>
      </c>
      <c r="AG82" s="1461">
        <f>$D$13</f>
        <v>2.197312110627072E-2</v>
      </c>
      <c r="AH82" s="891">
        <f>'Baseline data (from input)'!AS68*AG82</f>
        <v>1394.4586468111293</v>
      </c>
      <c r="AI82" s="885">
        <f>Parameters!S183</f>
        <v>0.71500000000000008</v>
      </c>
      <c r="AJ82" s="885">
        <f t="shared" si="17"/>
        <v>0.4</v>
      </c>
      <c r="AK82" s="884">
        <f t="shared" si="18"/>
        <v>199.40758649399152</v>
      </c>
      <c r="AL82" s="884">
        <f t="shared" si="19"/>
        <v>199.40758649399152</v>
      </c>
      <c r="AM82" s="886">
        <f t="shared" si="20"/>
        <v>0</v>
      </c>
      <c r="AN82" s="884">
        <f t="shared" si="21"/>
        <v>12808.534438992174</v>
      </c>
      <c r="AO82" s="884">
        <f t="shared" si="22"/>
        <v>646.48375807194691</v>
      </c>
      <c r="AP82" s="897">
        <f t="shared" si="23"/>
        <v>430.98917204796459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430.98917204796459</v>
      </c>
      <c r="BD82" s="1607">
        <f t="shared" si="48"/>
        <v>4.2856186627342376</v>
      </c>
      <c r="BE82" s="1606">
        <f t="shared" si="34"/>
        <v>906.78535022842459</v>
      </c>
      <c r="BF82" s="1608">
        <v>0</v>
      </c>
      <c r="BG82" s="1609">
        <f t="shared" si="35"/>
        <v>906.78535022842459</v>
      </c>
      <c r="BI82" s="1605">
        <f t="shared" si="36"/>
        <v>471.51055951772577</v>
      </c>
      <c r="BJ82" s="1606">
        <f t="shared" si="37"/>
        <v>430.98917204796459</v>
      </c>
      <c r="BK82" s="1607">
        <f t="shared" si="38"/>
        <v>4.2856186627342376</v>
      </c>
      <c r="BL82" s="1606">
        <f t="shared" si="39"/>
        <v>906.78535022842459</v>
      </c>
      <c r="BM82" s="1608">
        <v>0</v>
      </c>
      <c r="BN82" s="1609">
        <f t="shared" si="40"/>
        <v>906.78535022842459</v>
      </c>
    </row>
    <row r="83" spans="1:66">
      <c r="A83" s="819">
        <f>'Input data'!A113</f>
        <v>2013</v>
      </c>
      <c r="B83" s="867">
        <f>'Input data'!B113</f>
        <v>53.103999999999999</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16840.658038780697</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740.58066246123144</v>
      </c>
      <c r="R83" s="884">
        <f t="shared" si="3"/>
        <v>740.58066246123144</v>
      </c>
      <c r="S83" s="886">
        <f t="shared" si="4"/>
        <v>0</v>
      </c>
      <c r="T83" s="884">
        <f t="shared" si="5"/>
        <v>14631.067565590532</v>
      </c>
      <c r="U83" s="884">
        <f t="shared" si="6"/>
        <v>712.180492720242</v>
      </c>
      <c r="V83" s="897">
        <f t="shared" si="7"/>
        <v>474.78699514682802</v>
      </c>
      <c r="W83" s="1457">
        <f>W82</f>
        <v>2.197312110627072E-2</v>
      </c>
      <c r="X83" s="891">
        <f>'Baseline data (from input)'!AS69*W83</f>
        <v>1429.0071094041416</v>
      </c>
      <c r="Y83" s="885">
        <f>Parameters!S184</f>
        <v>0.71500000000000008</v>
      </c>
      <c r="Z83" s="885">
        <f t="shared" si="9"/>
        <v>0.4</v>
      </c>
      <c r="AA83" s="884">
        <f t="shared" si="10"/>
        <v>204.3480166447923</v>
      </c>
      <c r="AB83" s="884">
        <f t="shared" si="11"/>
        <v>204.3480166447923</v>
      </c>
      <c r="AC83" s="886">
        <f t="shared" si="12"/>
        <v>0</v>
      </c>
      <c r="AD83" s="884">
        <f t="shared" si="13"/>
        <v>12388.202859744893</v>
      </c>
      <c r="AE83" s="884">
        <f t="shared" si="14"/>
        <v>624.67959589207248</v>
      </c>
      <c r="AF83" s="897">
        <f t="shared" si="15"/>
        <v>416.45306392804832</v>
      </c>
      <c r="AG83" s="1461">
        <f>AG82</f>
        <v>2.197312110627072E-2</v>
      </c>
      <c r="AH83" s="891">
        <f>'Baseline data (from input)'!AS69*AG83</f>
        <v>1429.0071094041416</v>
      </c>
      <c r="AI83" s="885">
        <f>Parameters!S184</f>
        <v>0.71500000000000008</v>
      </c>
      <c r="AJ83" s="885">
        <f t="shared" si="17"/>
        <v>0.4</v>
      </c>
      <c r="AK83" s="884">
        <f t="shared" si="18"/>
        <v>204.3480166447923</v>
      </c>
      <c r="AL83" s="884">
        <f t="shared" si="19"/>
        <v>204.3480166447923</v>
      </c>
      <c r="AM83" s="886">
        <f t="shared" si="20"/>
        <v>0</v>
      </c>
      <c r="AN83" s="884">
        <f t="shared" si="21"/>
        <v>12388.202859744893</v>
      </c>
      <c r="AO83" s="884">
        <f t="shared" si="22"/>
        <v>624.67959589207248</v>
      </c>
      <c r="AP83" s="897">
        <f t="shared" si="23"/>
        <v>416.45306392804832</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474.78699514682802</v>
      </c>
      <c r="BC83" s="1606">
        <f t="shared" si="32"/>
        <v>416.45306392804832</v>
      </c>
      <c r="BD83" s="1607">
        <f t="shared" si="48"/>
        <v>4.5223098056013837</v>
      </c>
      <c r="BE83" s="1606">
        <f t="shared" si="34"/>
        <v>895.76236888047777</v>
      </c>
      <c r="BF83" s="1608">
        <v>0</v>
      </c>
      <c r="BG83" s="1609">
        <f t="shared" si="35"/>
        <v>895.76236888047777</v>
      </c>
      <c r="BI83" s="1605">
        <f t="shared" si="36"/>
        <v>474.78699514682802</v>
      </c>
      <c r="BJ83" s="1606">
        <f t="shared" si="37"/>
        <v>416.45306392804832</v>
      </c>
      <c r="BK83" s="1607">
        <f t="shared" si="38"/>
        <v>4.5223098056013837</v>
      </c>
      <c r="BL83" s="1606">
        <f t="shared" si="39"/>
        <v>895.76236888047777</v>
      </c>
      <c r="BM83" s="1608">
        <v>0</v>
      </c>
      <c r="BN83" s="1609">
        <f t="shared" si="40"/>
        <v>895.76236888047777</v>
      </c>
    </row>
    <row r="84" spans="1:66">
      <c r="A84" s="819">
        <f>'Input data'!A114</f>
        <v>2014</v>
      </c>
      <c r="B84" s="867">
        <f>'Input data'!B114</f>
        <v>53.911999999999999</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15349.153981617965</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674.99064453119786</v>
      </c>
      <c r="R84" s="884">
        <f t="shared" si="3"/>
        <v>674.99064453119786</v>
      </c>
      <c r="S84" s="886">
        <f t="shared" si="4"/>
        <v>0</v>
      </c>
      <c r="T84" s="884">
        <f t="shared" si="5"/>
        <v>14592.492624778943</v>
      </c>
      <c r="U84" s="884">
        <f t="shared" si="6"/>
        <v>713.56558534278747</v>
      </c>
      <c r="V84" s="897">
        <f t="shared" si="7"/>
        <v>475.710390228525</v>
      </c>
      <c r="W84" s="1457">
        <f t="shared" ref="W84:W87" si="52">W83</f>
        <v>2.197312110627072E-2</v>
      </c>
      <c r="X84" s="891">
        <f>'Baseline data (from input)'!AS70*W84</f>
        <v>1455.8449372993139</v>
      </c>
      <c r="Y84" s="885">
        <f>Parameters!S185</f>
        <v>0.71500000000000008</v>
      </c>
      <c r="Z84" s="885">
        <f t="shared" si="9"/>
        <v>0.4</v>
      </c>
      <c r="AA84" s="884">
        <f t="shared" si="10"/>
        <v>208.1858260338019</v>
      </c>
      <c r="AB84" s="884">
        <f t="shared" si="11"/>
        <v>208.1858260338019</v>
      </c>
      <c r="AC84" s="886">
        <f t="shared" si="12"/>
        <v>0</v>
      </c>
      <c r="AD84" s="884">
        <f t="shared" si="13"/>
        <v>11992.208902907036</v>
      </c>
      <c r="AE84" s="884">
        <f t="shared" si="14"/>
        <v>604.17978287165886</v>
      </c>
      <c r="AF84" s="897">
        <f t="shared" si="15"/>
        <v>402.78652191443922</v>
      </c>
      <c r="AG84" s="1461">
        <f t="shared" ref="AG84:AG87" si="53">AG83</f>
        <v>2.197312110627072E-2</v>
      </c>
      <c r="AH84" s="891">
        <f>'Baseline data (from input)'!AS70*AG84</f>
        <v>1455.8449372993139</v>
      </c>
      <c r="AI84" s="885">
        <f>Parameters!S185</f>
        <v>0.71500000000000008</v>
      </c>
      <c r="AJ84" s="885">
        <f t="shared" si="17"/>
        <v>0.4</v>
      </c>
      <c r="AK84" s="884">
        <f t="shared" si="18"/>
        <v>208.1858260338019</v>
      </c>
      <c r="AL84" s="884">
        <f t="shared" si="19"/>
        <v>208.1858260338019</v>
      </c>
      <c r="AM84" s="886">
        <f t="shared" si="20"/>
        <v>0</v>
      </c>
      <c r="AN84" s="884">
        <f t="shared" si="21"/>
        <v>11992.208902907036</v>
      </c>
      <c r="AO84" s="884">
        <f t="shared" si="22"/>
        <v>604.17978287165886</v>
      </c>
      <c r="AP84" s="897">
        <f t="shared" si="23"/>
        <v>402.78652191443922</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475.710390228525</v>
      </c>
      <c r="BC84" s="1606">
        <f t="shared" si="32"/>
        <v>402.78652191443922</v>
      </c>
      <c r="BD84" s="1607">
        <f t="shared" si="48"/>
        <v>4.7452171293671848</v>
      </c>
      <c r="BE84" s="1606">
        <f t="shared" ref="BE84:BE120" si="54">SUM(BB84:BD84)</f>
        <v>883.24212927233145</v>
      </c>
      <c r="BF84" s="1608">
        <v>0</v>
      </c>
      <c r="BG84" s="1609">
        <f t="shared" si="35"/>
        <v>883.24212927233145</v>
      </c>
      <c r="BI84" s="1605">
        <f t="shared" si="36"/>
        <v>475.710390228525</v>
      </c>
      <c r="BJ84" s="1606">
        <f t="shared" si="37"/>
        <v>402.78652191443922</v>
      </c>
      <c r="BK84" s="1607">
        <f t="shared" si="38"/>
        <v>4.7452171293671848</v>
      </c>
      <c r="BL84" s="1606">
        <f t="shared" ref="BL84:BL120" si="55">SUM(BI84:BK84)</f>
        <v>883.24212927233145</v>
      </c>
      <c r="BM84" s="1608">
        <v>0</v>
      </c>
      <c r="BN84" s="1609">
        <f t="shared" si="40"/>
        <v>883.24212927233145</v>
      </c>
    </row>
    <row r="85" spans="1:66">
      <c r="A85" s="819">
        <f>'Input data'!A115</f>
        <v>2015</v>
      </c>
      <c r="B85" s="867">
        <f>'Input data'!B115</f>
        <v>54.75</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13901.439698167358</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611.32631498876003</v>
      </c>
      <c r="R85" s="884">
        <f t="shared" ref="R85:R120" si="58">Q85*$C$10</f>
        <v>611.32631498876003</v>
      </c>
      <c r="S85" s="886">
        <f t="shared" ref="S85:S120" si="59">Q85*(1-$C$10)</f>
        <v>0</v>
      </c>
      <c r="T85" s="884">
        <f t="shared" ref="T85:T115" si="60">R85+(T84*$C$8)</f>
        <v>14492.134676488147</v>
      </c>
      <c r="U85" s="884">
        <f t="shared" ref="U85:U120" si="61">S85+T84*(1-$C$8)</f>
        <v>711.68426327955535</v>
      </c>
      <c r="V85" s="897">
        <f t="shared" ref="V85:V120" si="62">U85*16/12*$C$11</f>
        <v>474.45617551970355</v>
      </c>
      <c r="W85" s="1457">
        <f t="shared" si="52"/>
        <v>2.197312110627072E-2</v>
      </c>
      <c r="X85" s="891">
        <f>'Baseline data (from input)'!AS71*W85</f>
        <v>1474.393832894307</v>
      </c>
      <c r="Y85" s="885">
        <f>Parameters!S186</f>
        <v>0.71500000000000008</v>
      </c>
      <c r="Z85" s="885">
        <f t="shared" ref="Z85:Z120" si="63">$D$3</f>
        <v>0.4</v>
      </c>
      <c r="AA85" s="884">
        <f t="shared" ref="AA85:AA120" si="64">X85*Z85*Y85*$D$4</f>
        <v>210.83831810388594</v>
      </c>
      <c r="AB85" s="884">
        <f t="shared" ref="AB85:AB120" si="65">AA85*$D$10</f>
        <v>210.83831810388594</v>
      </c>
      <c r="AC85" s="886">
        <f t="shared" ref="AC85:AC120" si="66">AA85*(1-$D$10)</f>
        <v>0</v>
      </c>
      <c r="AD85" s="884">
        <f t="shared" ref="AD85:AD120" si="67">AB85+(AD84*$D$8)</f>
        <v>11618.180291308485</v>
      </c>
      <c r="AE85" s="884">
        <f t="shared" ref="AE85:AE120" si="68">AC85+AD84*(1-$D$8)</f>
        <v>584.86692970243712</v>
      </c>
      <c r="AF85" s="897">
        <f t="shared" ref="AF85:AF120" si="69">AE85*16/12*$D$11</f>
        <v>389.91128646829139</v>
      </c>
      <c r="AG85" s="1461">
        <f t="shared" si="53"/>
        <v>2.197312110627072E-2</v>
      </c>
      <c r="AH85" s="891">
        <f>'Baseline data (from input)'!AS71*AG85</f>
        <v>1474.393832894307</v>
      </c>
      <c r="AI85" s="885">
        <f>Parameters!S186</f>
        <v>0.71500000000000008</v>
      </c>
      <c r="AJ85" s="885">
        <f t="shared" ref="AJ85:AJ120" si="70">$D$3</f>
        <v>0.4</v>
      </c>
      <c r="AK85" s="884">
        <f t="shared" ref="AK85:AK120" si="71">AH85*AJ85*AI85*$D$4</f>
        <v>210.83831810388594</v>
      </c>
      <c r="AL85" s="884">
        <f t="shared" ref="AL85:AL120" si="72">AK85*$D$10</f>
        <v>210.83831810388594</v>
      </c>
      <c r="AM85" s="886">
        <f t="shared" ref="AM85:AM120" si="73">AK85*(1-$D$10)</f>
        <v>0</v>
      </c>
      <c r="AN85" s="884">
        <f t="shared" ref="AN85:AN120" si="74">AL85+(AN84*$D$8)</f>
        <v>11618.180291308485</v>
      </c>
      <c r="AO85" s="884">
        <f t="shared" ref="AO85:AO120" si="75">AM85+AN84*(1-$D$8)</f>
        <v>584.86692970243712</v>
      </c>
      <c r="AP85" s="897">
        <f t="shared" ref="AP85:AP120" si="76">AO85*16/12*$D$11</f>
        <v>389.91128646829139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474.45617551970355</v>
      </c>
      <c r="BC85" s="1606">
        <f t="shared" ref="BC85:BC120" si="82">AF85</f>
        <v>389.91128646829139</v>
      </c>
      <c r="BD85" s="1607">
        <f t="shared" si="48"/>
        <v>4.9551433411659982</v>
      </c>
      <c r="BE85" s="1606">
        <f t="shared" si="54"/>
        <v>869.32260532916098</v>
      </c>
      <c r="BF85" s="1608">
        <v>0</v>
      </c>
      <c r="BG85" s="1609">
        <f t="shared" ref="BG85:BG120" si="83">BE85-BF85</f>
        <v>869.32260532916098</v>
      </c>
      <c r="BI85" s="1605">
        <f t="shared" ref="BI85:BI120" si="84">V85</f>
        <v>474.45617551970355</v>
      </c>
      <c r="BJ85" s="1606">
        <f t="shared" ref="BJ85:BJ120" si="85">AP85</f>
        <v>389.91128646829139</v>
      </c>
      <c r="BK85" s="1607">
        <f t="shared" ref="BK85:BK120" si="86">AZ85</f>
        <v>4.9551433411659982</v>
      </c>
      <c r="BL85" s="1606">
        <f t="shared" si="55"/>
        <v>869.32260532916098</v>
      </c>
      <c r="BM85" s="1608">
        <v>0</v>
      </c>
      <c r="BN85" s="1609">
        <f t="shared" ref="BN85:BN120" si="87">BL85-BM85</f>
        <v>869.32260532916098</v>
      </c>
    </row>
    <row r="86" spans="1:66">
      <c r="A86" s="819">
        <f>'Input data'!A116</f>
        <v>2016</v>
      </c>
      <c r="B86" s="867">
        <f>'Input data'!B116</f>
        <v>55.62</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12499.261385037438</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549.66446414924781</v>
      </c>
      <c r="R86" s="884">
        <f t="shared" si="58"/>
        <v>549.66446414924781</v>
      </c>
      <c r="S86" s="886">
        <f t="shared" si="59"/>
        <v>0</v>
      </c>
      <c r="T86" s="884">
        <f t="shared" si="60"/>
        <v>14335.00939225191</v>
      </c>
      <c r="U86" s="884">
        <f t="shared" si="61"/>
        <v>706.78974838548561</v>
      </c>
      <c r="V86" s="897">
        <f t="shared" si="62"/>
        <v>471.19316559032376</v>
      </c>
      <c r="W86" s="1457">
        <f t="shared" si="52"/>
        <v>2.197312110627072E-2</v>
      </c>
      <c r="X86" s="891">
        <f>'Baseline data (from input)'!AS72*W86</f>
        <v>1486.1862848353171</v>
      </c>
      <c r="Y86" s="885">
        <f>Parameters!S187</f>
        <v>0.71500000000000008</v>
      </c>
      <c r="Z86" s="885">
        <f t="shared" si="63"/>
        <v>0.4</v>
      </c>
      <c r="AA86" s="884">
        <f t="shared" si="64"/>
        <v>212.52463873145038</v>
      </c>
      <c r="AB86" s="884">
        <f t="shared" si="65"/>
        <v>212.52463873145038</v>
      </c>
      <c r="AC86" s="886">
        <f t="shared" si="66"/>
        <v>0</v>
      </c>
      <c r="AD86" s="884">
        <f t="shared" si="67"/>
        <v>11264.079590978359</v>
      </c>
      <c r="AE86" s="884">
        <f t="shared" si="68"/>
        <v>566.62533906157694</v>
      </c>
      <c r="AF86" s="897">
        <f t="shared" si="69"/>
        <v>377.75022604105129</v>
      </c>
      <c r="AG86" s="1461">
        <f t="shared" si="53"/>
        <v>2.197312110627072E-2</v>
      </c>
      <c r="AH86" s="891">
        <f>'Baseline data (from input)'!AS72*AG86</f>
        <v>1486.1862848353171</v>
      </c>
      <c r="AI86" s="885">
        <f>Parameters!S187</f>
        <v>0.71500000000000008</v>
      </c>
      <c r="AJ86" s="885">
        <f t="shared" si="70"/>
        <v>0.4</v>
      </c>
      <c r="AK86" s="884">
        <f t="shared" si="71"/>
        <v>212.52463873145038</v>
      </c>
      <c r="AL86" s="884">
        <f t="shared" si="72"/>
        <v>212.52463873145038</v>
      </c>
      <c r="AM86" s="886">
        <f t="shared" si="73"/>
        <v>0</v>
      </c>
      <c r="AN86" s="884">
        <f t="shared" si="74"/>
        <v>11264.079590978359</v>
      </c>
      <c r="AO86" s="884">
        <f t="shared" si="75"/>
        <v>566.62533906157694</v>
      </c>
      <c r="AP86" s="897">
        <f t="shared" si="76"/>
        <v>377.75022604105129</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471.19316559032376</v>
      </c>
      <c r="BC86" s="1606">
        <f t="shared" si="82"/>
        <v>377.75022604105129</v>
      </c>
      <c r="BD86" s="1607">
        <f t="shared" si="48"/>
        <v>5.1528444021078155</v>
      </c>
      <c r="BE86" s="1606">
        <f t="shared" si="54"/>
        <v>854.09623603348291</v>
      </c>
      <c r="BF86" s="1608">
        <v>0</v>
      </c>
      <c r="BG86" s="1609">
        <f t="shared" si="83"/>
        <v>854.09623603348291</v>
      </c>
      <c r="BI86" s="1605">
        <f t="shared" si="84"/>
        <v>471.19316559032376</v>
      </c>
      <c r="BJ86" s="1606">
        <f t="shared" si="85"/>
        <v>377.75022604105129</v>
      </c>
      <c r="BK86" s="1607">
        <f t="shared" si="86"/>
        <v>5.1528444021078155</v>
      </c>
      <c r="BL86" s="1606">
        <f t="shared" si="55"/>
        <v>854.09623603348291</v>
      </c>
      <c r="BM86" s="1608">
        <v>0</v>
      </c>
      <c r="BN86" s="1609">
        <f t="shared" si="87"/>
        <v>854.09623603348291</v>
      </c>
    </row>
    <row r="87" spans="1:66" ht="13.2" customHeight="1" thickBot="1">
      <c r="A87" s="819">
        <f>'Input data'!A117</f>
        <v>2017</v>
      </c>
      <c r="B87" s="867">
        <f>'Input data'!B117</f>
        <v>56.521999999999998</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11144.041726220405</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490.06765561623229</v>
      </c>
      <c r="R87" s="894">
        <f t="shared" si="58"/>
        <v>490.06765561623229</v>
      </c>
      <c r="S87" s="895">
        <f t="shared" si="59"/>
        <v>0</v>
      </c>
      <c r="T87" s="894">
        <f t="shared" si="60"/>
        <v>14125.950390020347</v>
      </c>
      <c r="U87" s="894">
        <f t="shared" si="61"/>
        <v>699.12665784779551</v>
      </c>
      <c r="V87" s="898">
        <f t="shared" si="62"/>
        <v>466.08443856519699</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10929.772208856582</v>
      </c>
      <c r="AE87" s="894">
        <f t="shared" si="68"/>
        <v>549.35564412177644</v>
      </c>
      <c r="AF87" s="898">
        <f t="shared" si="69"/>
        <v>366.23709608118429</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10929.772208856582</v>
      </c>
      <c r="AO87" s="894">
        <f t="shared" si="75"/>
        <v>549.35564412177644</v>
      </c>
      <c r="AP87" s="898">
        <f t="shared" si="76"/>
        <v>366.23709608118429</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466.08443856519699</v>
      </c>
      <c r="BC87" s="1611">
        <f t="shared" si="82"/>
        <v>366.23709608118429</v>
      </c>
      <c r="BD87" s="1612">
        <f t="shared" si="48"/>
        <v>5.3390322495547968</v>
      </c>
      <c r="BE87" s="1611">
        <f t="shared" si="54"/>
        <v>837.66056689593597</v>
      </c>
      <c r="BF87" s="1613">
        <v>0</v>
      </c>
      <c r="BG87" s="1614">
        <f t="shared" si="83"/>
        <v>837.66056689593597</v>
      </c>
      <c r="BI87" s="1610">
        <f t="shared" si="84"/>
        <v>466.08443856519699</v>
      </c>
      <c r="BJ87" s="1611">
        <f t="shared" si="85"/>
        <v>366.23709608118429</v>
      </c>
      <c r="BK87" s="1612">
        <f t="shared" si="86"/>
        <v>5.3390322495547968</v>
      </c>
      <c r="BL87" s="1611">
        <f t="shared" si="55"/>
        <v>837.66056689593597</v>
      </c>
      <c r="BM87" s="1613">
        <v>0</v>
      </c>
      <c r="BN87" s="1614">
        <f t="shared" si="87"/>
        <v>837.66056689593597</v>
      </c>
    </row>
    <row r="88" spans="1:66">
      <c r="A88" s="926">
        <f>'Input data'!A118</f>
        <v>2018</v>
      </c>
      <c r="B88" s="820">
        <f>'Input data'!B118</f>
        <v>57.436</v>
      </c>
      <c r="C88" s="820">
        <f>'Recycling - Case 2'!AK98/B88</f>
        <v>414.46380953618961</v>
      </c>
      <c r="D88" s="821">
        <f>'Recycling - Case 2'!AM98</f>
        <v>0.4400477267555471</v>
      </c>
      <c r="E88" s="822">
        <f>'Recycling - Case 2'!BE98</f>
        <v>0.23669038236001458</v>
      </c>
      <c r="F88" s="822">
        <f>'Recycling - Case 2'!BF98</f>
        <v>0.30018743824714528</v>
      </c>
      <c r="G88" s="822">
        <f>'Recycling - Case 2'!BG98</f>
        <v>5.9354170344532942E-2</v>
      </c>
      <c r="H88" s="822">
        <f>'Recycling - Case 2'!BH98</f>
        <v>0</v>
      </c>
      <c r="I88" s="822">
        <f>'Recycling - Case 2'!BI98</f>
        <v>0</v>
      </c>
      <c r="J88" s="822">
        <f>'Recycling - Case 2'!BJ98</f>
        <v>0</v>
      </c>
      <c r="K88" s="822">
        <f>'Recycling - Case 2'!BK98</f>
        <v>0.40376800904830723</v>
      </c>
      <c r="L88" s="823">
        <f t="shared" si="89"/>
        <v>1</v>
      </c>
      <c r="M88" s="4"/>
      <c r="N88" s="838">
        <f>B88*C88*D88</f>
        <v>10475.39922264718</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0.11928271314124442</v>
      </c>
      <c r="Q88" s="832">
        <f t="shared" si="57"/>
        <v>469.05585520872216</v>
      </c>
      <c r="R88" s="832">
        <f t="shared" si="58"/>
        <v>469.05585520872216</v>
      </c>
      <c r="S88" s="835">
        <f t="shared" si="59"/>
        <v>0</v>
      </c>
      <c r="T88" s="832">
        <f t="shared" si="60"/>
        <v>13906.075515233413</v>
      </c>
      <c r="U88" s="832">
        <f t="shared" si="61"/>
        <v>688.93072999565561</v>
      </c>
      <c r="V88" s="839">
        <f t="shared" si="62"/>
        <v>459.28715333043709</v>
      </c>
      <c r="X88" s="852">
        <f>'Recycling - Case 2'!AM138</f>
        <v>1236.6652177866376</v>
      </c>
      <c r="Y88" s="853">
        <f>Parameters!S223</f>
        <v>0.71500000000000008</v>
      </c>
      <c r="Z88" s="853">
        <f t="shared" si="63"/>
        <v>0.4</v>
      </c>
      <c r="AA88" s="854">
        <f t="shared" si="64"/>
        <v>176.8431261434892</v>
      </c>
      <c r="AB88" s="854">
        <f t="shared" si="65"/>
        <v>176.8431261434892</v>
      </c>
      <c r="AC88" s="855">
        <f t="shared" si="66"/>
        <v>0</v>
      </c>
      <c r="AD88" s="854">
        <f t="shared" si="67"/>
        <v>10573.564054298035</v>
      </c>
      <c r="AE88" s="854">
        <f t="shared" si="68"/>
        <v>533.05128070203773</v>
      </c>
      <c r="AF88" s="856">
        <f t="shared" si="69"/>
        <v>355.36752046802513</v>
      </c>
      <c r="AH88" s="852">
        <f>'Recycling - Case 2'!AM178</f>
        <v>1236.6652177866376</v>
      </c>
      <c r="AI88" s="853">
        <f>Parameters!S223</f>
        <v>0.71500000000000008</v>
      </c>
      <c r="AJ88" s="853">
        <f t="shared" si="70"/>
        <v>0.4</v>
      </c>
      <c r="AK88" s="854">
        <f t="shared" si="71"/>
        <v>176.8431261434892</v>
      </c>
      <c r="AL88" s="854">
        <f t="shared" si="72"/>
        <v>176.8431261434892</v>
      </c>
      <c r="AM88" s="855">
        <f t="shared" si="73"/>
        <v>0</v>
      </c>
      <c r="AN88" s="854">
        <f t="shared" si="74"/>
        <v>10573.564054298035</v>
      </c>
      <c r="AO88" s="854">
        <f t="shared" si="75"/>
        <v>533.05128070203773</v>
      </c>
      <c r="AP88" s="856">
        <f t="shared" si="76"/>
        <v>355.36752046802513</v>
      </c>
      <c r="AR88" s="1037">
        <f>'Recycling - Case 2'!G98</f>
        <v>519.60187202830946</v>
      </c>
      <c r="AS88" s="1038">
        <v>1</v>
      </c>
      <c r="AT88" s="1038">
        <f t="shared" si="77"/>
        <v>0.05</v>
      </c>
      <c r="AU88" s="1039">
        <f t="shared" si="78"/>
        <v>12.990046800707738</v>
      </c>
      <c r="AV88" s="1039">
        <f t="shared" si="79"/>
        <v>12.990046800707738</v>
      </c>
      <c r="AW88" s="1040">
        <f t="shared" si="80"/>
        <v>0</v>
      </c>
      <c r="AX88" s="1039">
        <f t="shared" si="44"/>
        <v>146.7550531506275</v>
      </c>
      <c r="AY88" s="1039">
        <f t="shared" si="49"/>
        <v>8.2715660412971381</v>
      </c>
      <c r="AZ88" s="1041">
        <f t="shared" si="47"/>
        <v>5.514377360864759</v>
      </c>
      <c r="BA88" s="4"/>
      <c r="BB88" s="1052">
        <f t="shared" si="81"/>
        <v>459.28715333043709</v>
      </c>
      <c r="BC88" s="1053">
        <f t="shared" si="82"/>
        <v>355.36752046802513</v>
      </c>
      <c r="BD88" s="1081">
        <f>AZ88</f>
        <v>5.514377360864759</v>
      </c>
      <c r="BE88" s="1053">
        <f t="shared" si="54"/>
        <v>820.16905115932695</v>
      </c>
      <c r="BF88" s="1054">
        <v>0</v>
      </c>
      <c r="BG88" s="1074">
        <f t="shared" si="83"/>
        <v>820.16905115932695</v>
      </c>
      <c r="BI88" s="1052">
        <f t="shared" si="84"/>
        <v>459.28715333043709</v>
      </c>
      <c r="BJ88" s="1053">
        <f>AP88</f>
        <v>355.36752046802513</v>
      </c>
      <c r="BK88" s="1081">
        <f t="shared" si="86"/>
        <v>5.514377360864759</v>
      </c>
      <c r="BL88" s="1053">
        <f t="shared" si="55"/>
        <v>820.16905115932695</v>
      </c>
      <c r="BM88" s="1054">
        <v>0</v>
      </c>
      <c r="BN88" s="1074">
        <f t="shared" si="87"/>
        <v>820.16905115932695</v>
      </c>
    </row>
    <row r="89" spans="1:66">
      <c r="A89" s="927">
        <f>'Input data'!A119</f>
        <v>2019</v>
      </c>
      <c r="B89" s="824">
        <f>'Input data'!B119</f>
        <v>58.365000000000002</v>
      </c>
      <c r="C89" s="824">
        <f>'Recycling - Case 2'!AK99/B89</f>
        <v>406.33259652188701</v>
      </c>
      <c r="D89" s="825">
        <f>'Recycling - Case 2'!AM99</f>
        <v>0.41821401531401325</v>
      </c>
      <c r="E89" s="826">
        <f>'Recycling - Case 2'!BE99</f>
        <v>0.2333017706588183</v>
      </c>
      <c r="F89" s="826">
        <f>'Recycling - Case 2'!BF99</f>
        <v>0.29588976186649196</v>
      </c>
      <c r="G89" s="826">
        <f>'Recycling - Case 2'!BG99</f>
        <v>5.9682770506819721E-2</v>
      </c>
      <c r="H89" s="826">
        <f>'Recycling - Case 2'!BH99</f>
        <v>0</v>
      </c>
      <c r="I89" s="826">
        <f>'Recycling - Case 2'!BI99</f>
        <v>0</v>
      </c>
      <c r="J89" s="826">
        <f>'Recycling - Case 2'!BJ99</f>
        <v>0</v>
      </c>
      <c r="K89" s="826">
        <f>'Recycling - Case 2'!BK99</f>
        <v>0.4111256969678696</v>
      </c>
      <c r="L89" s="827">
        <f t="shared" si="89"/>
        <v>0.99999999999999956</v>
      </c>
      <c r="M89" s="4"/>
      <c r="N89" s="838">
        <f t="shared" si="56"/>
        <v>9918.1971363361608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0.11804632617484903</v>
      </c>
      <c r="Q89" s="832">
        <f t="shared" si="57"/>
        <v>451.66121324040751</v>
      </c>
      <c r="R89" s="832">
        <f t="shared" si="58"/>
        <v>451.66121324040751</v>
      </c>
      <c r="S89" s="835">
        <f t="shared" si="59"/>
        <v>0</v>
      </c>
      <c r="T89" s="832">
        <f t="shared" si="60"/>
        <v>13679.529422659358</v>
      </c>
      <c r="U89" s="832">
        <f t="shared" si="61"/>
        <v>678.20730581446344</v>
      </c>
      <c r="V89" s="839">
        <f t="shared" si="62"/>
        <v>452.13820387630898</v>
      </c>
      <c r="X89" s="852">
        <f>'Recycling - Case 2'!AM139</f>
        <v>1061.3855476720448</v>
      </c>
      <c r="Y89" s="853">
        <f>Parameters!S224</f>
        <v>0.71500000000000008</v>
      </c>
      <c r="Z89" s="853">
        <f t="shared" si="63"/>
        <v>0.4</v>
      </c>
      <c r="AA89" s="854">
        <f t="shared" si="64"/>
        <v>151.77813331710243</v>
      </c>
      <c r="AB89" s="854">
        <f t="shared" si="65"/>
        <v>151.77813331710243</v>
      </c>
      <c r="AC89" s="855">
        <f t="shared" si="66"/>
        <v>0</v>
      </c>
      <c r="AD89" s="854">
        <f t="shared" si="67"/>
        <v>10209.663383608458</v>
      </c>
      <c r="AE89" s="854">
        <f t="shared" si="68"/>
        <v>515.67880400667866</v>
      </c>
      <c r="AF89" s="856">
        <f t="shared" si="69"/>
        <v>343.78586933778575</v>
      </c>
      <c r="AH89" s="852">
        <f>'Recycling - Case 2'!AM179</f>
        <v>1061.3855476720448</v>
      </c>
      <c r="AI89" s="853">
        <f>Parameters!S224</f>
        <v>0.71500000000000008</v>
      </c>
      <c r="AJ89" s="853">
        <f t="shared" si="70"/>
        <v>0.4</v>
      </c>
      <c r="AK89" s="854">
        <f t="shared" si="71"/>
        <v>151.77813331710243</v>
      </c>
      <c r="AL89" s="854">
        <f t="shared" si="72"/>
        <v>151.77813331710243</v>
      </c>
      <c r="AM89" s="855">
        <f t="shared" si="73"/>
        <v>0</v>
      </c>
      <c r="AN89" s="854">
        <f t="shared" si="74"/>
        <v>10209.663383608458</v>
      </c>
      <c r="AO89" s="854">
        <f t="shared" si="75"/>
        <v>515.67880400667866</v>
      </c>
      <c r="AP89" s="856">
        <f t="shared" si="76"/>
        <v>343.78586933778575</v>
      </c>
      <c r="AR89" s="1042">
        <f>'Recycling - Case 2'!G99</f>
        <v>538.6763776064397</v>
      </c>
      <c r="AS89" s="1043">
        <v>1</v>
      </c>
      <c r="AT89" s="1043">
        <f t="shared" si="77"/>
        <v>0.05</v>
      </c>
      <c r="AU89" s="1044">
        <f t="shared" si="78"/>
        <v>13.466909440160993</v>
      </c>
      <c r="AV89" s="1044">
        <f t="shared" si="79"/>
        <v>13.466909440160993</v>
      </c>
      <c r="AW89" s="1045">
        <f t="shared" si="80"/>
        <v>0</v>
      </c>
      <c r="AX89" s="1044">
        <f t="shared" si="44"/>
        <v>151.67561362169334</v>
      </c>
      <c r="AY89" s="1044">
        <f t="shared" si="49"/>
        <v>8.5463489690951615</v>
      </c>
      <c r="AZ89" s="1046">
        <f t="shared" si="47"/>
        <v>5.6975659793967743</v>
      </c>
      <c r="BA89" s="4"/>
      <c r="BB89" s="1055">
        <f t="shared" si="81"/>
        <v>452.13820387630898</v>
      </c>
      <c r="BC89" s="1056">
        <f t="shared" si="82"/>
        <v>343.78586933778575</v>
      </c>
      <c r="BD89" s="1082">
        <f t="shared" ref="BD89:BD120" si="90">AZ89</f>
        <v>5.6975659793967743</v>
      </c>
      <c r="BE89" s="1056">
        <f t="shared" si="54"/>
        <v>801.62163919349155</v>
      </c>
      <c r="BF89" s="167">
        <v>0</v>
      </c>
      <c r="BG89" s="1075">
        <f t="shared" si="83"/>
        <v>801.62163919349155</v>
      </c>
      <c r="BI89" s="1055">
        <f t="shared" si="84"/>
        <v>452.13820387630898</v>
      </c>
      <c r="BJ89" s="1056">
        <f t="shared" si="85"/>
        <v>343.78586933778575</v>
      </c>
      <c r="BK89" s="1082">
        <f t="shared" si="86"/>
        <v>5.6975659793967743</v>
      </c>
      <c r="BL89" s="1056">
        <f t="shared" si="55"/>
        <v>801.62163919349155</v>
      </c>
      <c r="BM89" s="167">
        <v>0</v>
      </c>
      <c r="BN89" s="1075">
        <f t="shared" si="87"/>
        <v>801.62163919349155</v>
      </c>
    </row>
    <row r="90" spans="1:66">
      <c r="A90" s="927">
        <f>'Input data'!A120</f>
        <v>2020</v>
      </c>
      <c r="B90" s="824">
        <f>'Input data'!B120</f>
        <v>59.308999999999997</v>
      </c>
      <c r="C90" s="824">
        <f>'Recycling - Case 2'!AK100/B90</f>
        <v>397.49196700004836</v>
      </c>
      <c r="D90" s="825">
        <f>'Recycling - Case 2'!AM100</f>
        <v>0.3828942024332358</v>
      </c>
      <c r="E90" s="826">
        <f>'Recycling - Case 2'!BE100</f>
        <v>0.22354503169010279</v>
      </c>
      <c r="F90" s="826">
        <f>'Recycling - Case 2'!BF100</f>
        <v>0.28351557729903498</v>
      </c>
      <c r="G90" s="826">
        <f>'Recycling - Case 2'!BG100</f>
        <v>6.1771785882978082E-2</v>
      </c>
      <c r="H90" s="826">
        <f>'Recycling - Case 2'!BH100</f>
        <v>0</v>
      </c>
      <c r="I90" s="826">
        <f>'Recycling - Case 2'!BI100</f>
        <v>0</v>
      </c>
      <c r="J90" s="826">
        <f>'Recycling - Case 2'!BJ100</f>
        <v>0</v>
      </c>
      <c r="K90" s="826">
        <f>'Recycling - Case 2'!BK100</f>
        <v>0.43116760512788427</v>
      </c>
      <c r="L90" s="827">
        <f t="shared" si="89"/>
        <v>1</v>
      </c>
      <c r="M90" s="4"/>
      <c r="N90" s="838">
        <f t="shared" si="56"/>
        <v>9026.6737982385275</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0.11494358456651364</v>
      </c>
      <c r="Q90" s="832">
        <f t="shared" si="57"/>
        <v>411.03268860562616</v>
      </c>
      <c r="R90" s="832">
        <f t="shared" si="58"/>
        <v>411.03268860562616</v>
      </c>
      <c r="S90" s="835">
        <f t="shared" si="59"/>
        <v>0</v>
      </c>
      <c r="T90" s="832">
        <f t="shared" si="60"/>
        <v>13423.403588762472</v>
      </c>
      <c r="U90" s="832">
        <f t="shared" si="61"/>
        <v>667.15852250251226</v>
      </c>
      <c r="V90" s="839">
        <f t="shared" si="62"/>
        <v>444.77234833500819</v>
      </c>
      <c r="X90" s="852">
        <f>'Recycling - Case 2'!AM140</f>
        <v>810.45915430168679</v>
      </c>
      <c r="Y90" s="853">
        <f>Parameters!S225</f>
        <v>0.71500000000000008</v>
      </c>
      <c r="Z90" s="853">
        <f t="shared" si="63"/>
        <v>0.4</v>
      </c>
      <c r="AA90" s="854">
        <f t="shared" si="64"/>
        <v>115.89565906514125</v>
      </c>
      <c r="AB90" s="854">
        <f t="shared" si="65"/>
        <v>115.89565906514125</v>
      </c>
      <c r="AC90" s="855">
        <f t="shared" si="66"/>
        <v>0</v>
      </c>
      <c r="AD90" s="854">
        <f t="shared" si="67"/>
        <v>9827.6278838010276</v>
      </c>
      <c r="AE90" s="854">
        <f t="shared" si="68"/>
        <v>497.93115887257193</v>
      </c>
      <c r="AF90" s="856">
        <f t="shared" si="69"/>
        <v>331.95410591504793</v>
      </c>
      <c r="AH90" s="852">
        <f>'Recycling - Case 2'!AM180</f>
        <v>810.45915430168679</v>
      </c>
      <c r="AI90" s="853">
        <f>Parameters!S225</f>
        <v>0.71500000000000008</v>
      </c>
      <c r="AJ90" s="853">
        <f t="shared" si="70"/>
        <v>0.4</v>
      </c>
      <c r="AK90" s="854">
        <f t="shared" si="71"/>
        <v>115.89565906514125</v>
      </c>
      <c r="AL90" s="854">
        <f t="shared" si="72"/>
        <v>115.89565906514125</v>
      </c>
      <c r="AM90" s="855">
        <f t="shared" si="73"/>
        <v>0</v>
      </c>
      <c r="AN90" s="854">
        <f t="shared" si="74"/>
        <v>9827.6278838010276</v>
      </c>
      <c r="AO90" s="854">
        <f t="shared" si="75"/>
        <v>497.93115887257193</v>
      </c>
      <c r="AP90" s="856">
        <f t="shared" si="76"/>
        <v>331.95410591504793</v>
      </c>
      <c r="AR90" s="1042">
        <f>'Recycling - Case 2'!G100</f>
        <v>558.23174355958042</v>
      </c>
      <c r="AS90" s="1043">
        <v>1</v>
      </c>
      <c r="AT90" s="1043">
        <f t="shared" si="77"/>
        <v>0.05</v>
      </c>
      <c r="AU90" s="1044">
        <f t="shared" si="78"/>
        <v>13.955793588989511</v>
      </c>
      <c r="AV90" s="1044">
        <f t="shared" si="79"/>
        <v>13.955793588989511</v>
      </c>
      <c r="AW90" s="1045">
        <f t="shared" si="80"/>
        <v>0</v>
      </c>
      <c r="AX90" s="1044">
        <f t="shared" si="44"/>
        <v>156.79850710752825</v>
      </c>
      <c r="AY90" s="1044">
        <f t="shared" si="49"/>
        <v>8.8329001031545893</v>
      </c>
      <c r="AZ90" s="1046">
        <f t="shared" si="47"/>
        <v>5.8886000687697262</v>
      </c>
      <c r="BA90" s="4"/>
      <c r="BB90" s="1055">
        <f t="shared" si="81"/>
        <v>444.77234833500819</v>
      </c>
      <c r="BC90" s="1056">
        <f t="shared" si="82"/>
        <v>331.95410591504793</v>
      </c>
      <c r="BD90" s="1082">
        <f t="shared" si="90"/>
        <v>5.8886000687697262</v>
      </c>
      <c r="BE90" s="1056">
        <f t="shared" si="54"/>
        <v>782.61505431882586</v>
      </c>
      <c r="BF90" s="167">
        <v>0</v>
      </c>
      <c r="BG90" s="1075">
        <f t="shared" si="83"/>
        <v>782.61505431882586</v>
      </c>
      <c r="BI90" s="1055">
        <f t="shared" si="84"/>
        <v>444.77234833500819</v>
      </c>
      <c r="BJ90" s="1056">
        <f t="shared" si="85"/>
        <v>331.95410591504793</v>
      </c>
      <c r="BK90" s="1082">
        <f t="shared" si="86"/>
        <v>5.8886000687697262</v>
      </c>
      <c r="BL90" s="1056">
        <f t="shared" si="55"/>
        <v>782.61505431882586</v>
      </c>
      <c r="BM90" s="167">
        <v>0</v>
      </c>
      <c r="BN90" s="1075">
        <f t="shared" si="87"/>
        <v>782.61505431882586</v>
      </c>
    </row>
    <row r="91" spans="1:66">
      <c r="A91" s="927">
        <f>'Input data'!A121</f>
        <v>2021</v>
      </c>
      <c r="B91" s="824">
        <f>'Input data'!B121</f>
        <v>59.991999999999997</v>
      </c>
      <c r="C91" s="824">
        <f>'Recycling - Case 2'!AK101/B91</f>
        <v>382.99403570403217</v>
      </c>
      <c r="D91" s="825">
        <f>'Recycling - Case 2'!AM101</f>
        <v>0.31526135276355705</v>
      </c>
      <c r="E91" s="826">
        <f>'Recycling - Case 2'!BE101</f>
        <v>0.19716647414885305</v>
      </c>
      <c r="F91" s="826">
        <f>'Recycling - Case 2'!BF101</f>
        <v>0.25006042997108674</v>
      </c>
      <c r="G91" s="826">
        <f>'Recycling - Case 2'!BG101</f>
        <v>6.8431570681879175E-2</v>
      </c>
      <c r="H91" s="826">
        <f>'Recycling - Case 2'!BH101</f>
        <v>0</v>
      </c>
      <c r="I91" s="826">
        <f>'Recycling - Case 2'!BI101</f>
        <v>0</v>
      </c>
      <c r="J91" s="826">
        <f>'Recycling - Case 2'!BJ101</f>
        <v>0</v>
      </c>
      <c r="K91" s="826">
        <f>'Recycling - Case 2'!BK101</f>
        <v>0.48434152519818108</v>
      </c>
      <c r="L91" s="827">
        <f t="shared" si="89"/>
        <v>1</v>
      </c>
      <c r="M91" s="4"/>
      <c r="N91" s="838">
        <f t="shared" si="56"/>
        <v>7243.6271220432636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0.10695968538929698</v>
      </c>
      <c r="Q91" s="832">
        <f t="shared" si="57"/>
        <v>314.97627480770785</v>
      </c>
      <c r="R91" s="832">
        <f t="shared" si="58"/>
        <v>314.97627480770785</v>
      </c>
      <c r="S91" s="835">
        <f t="shared" si="59"/>
        <v>0</v>
      </c>
      <c r="T91" s="832">
        <f t="shared" si="60"/>
        <v>13083.712745387054</v>
      </c>
      <c r="U91" s="832">
        <f t="shared" si="61"/>
        <v>654.6671181831266</v>
      </c>
      <c r="V91" s="839">
        <f t="shared" si="62"/>
        <v>436.44474545541772</v>
      </c>
      <c r="W91" s="4"/>
      <c r="X91" s="852">
        <f>'Recycling - Case 2'!AM141</f>
        <v>210.7598914844657</v>
      </c>
      <c r="Y91" s="853">
        <f>Parameters!S226</f>
        <v>0.71500000000000008</v>
      </c>
      <c r="Z91" s="853">
        <f t="shared" si="63"/>
        <v>0.4</v>
      </c>
      <c r="AA91" s="854">
        <f t="shared" si="64"/>
        <v>30.1386644822786</v>
      </c>
      <c r="AB91" s="854">
        <f t="shared" si="65"/>
        <v>30.1386644822786</v>
      </c>
      <c r="AC91" s="855">
        <f t="shared" si="66"/>
        <v>0</v>
      </c>
      <c r="AD91" s="854">
        <f t="shared" si="67"/>
        <v>9378.4674805974992</v>
      </c>
      <c r="AE91" s="854">
        <f t="shared" si="68"/>
        <v>479.29906768580616</v>
      </c>
      <c r="AF91" s="856">
        <f t="shared" si="69"/>
        <v>319.53271179053746</v>
      </c>
      <c r="AG91" s="4"/>
      <c r="AH91" s="852">
        <f>'Recycling - Case 2'!AM181</f>
        <v>210.7598914844657</v>
      </c>
      <c r="AI91" s="853">
        <f>Parameters!S226</f>
        <v>0.71500000000000008</v>
      </c>
      <c r="AJ91" s="853">
        <f t="shared" si="70"/>
        <v>0.4</v>
      </c>
      <c r="AK91" s="854">
        <f t="shared" si="71"/>
        <v>30.1386644822786</v>
      </c>
      <c r="AL91" s="854">
        <f t="shared" si="72"/>
        <v>30.1386644822786</v>
      </c>
      <c r="AM91" s="855">
        <f t="shared" si="73"/>
        <v>0</v>
      </c>
      <c r="AN91" s="854">
        <f t="shared" si="74"/>
        <v>9378.4674805974992</v>
      </c>
      <c r="AO91" s="854">
        <f t="shared" si="75"/>
        <v>479.29906768580616</v>
      </c>
      <c r="AP91" s="856">
        <f t="shared" si="76"/>
        <v>319.53271179053746</v>
      </c>
      <c r="AR91" s="1042">
        <f>'Recycling - Case 2'!G101</f>
        <v>575.62795502093263</v>
      </c>
      <c r="AS91" s="1043">
        <v>1</v>
      </c>
      <c r="AT91" s="1043">
        <f t="shared" si="77"/>
        <v>0.05</v>
      </c>
      <c r="AU91" s="1044">
        <f t="shared" si="78"/>
        <v>14.390698875523317</v>
      </c>
      <c r="AV91" s="1044">
        <f t="shared" si="79"/>
        <v>14.390698875523317</v>
      </c>
      <c r="AW91" s="1045">
        <f t="shared" si="80"/>
        <v>0</v>
      </c>
      <c r="AX91" s="1044">
        <f t="shared" si="44"/>
        <v>162.05797178835118</v>
      </c>
      <c r="AY91" s="1044">
        <f t="shared" si="49"/>
        <v>9.1312341947004008</v>
      </c>
      <c r="AZ91" s="1046">
        <f t="shared" si="47"/>
        <v>6.0874894631336005</v>
      </c>
      <c r="BA91" s="4"/>
      <c r="BB91" s="1055">
        <f t="shared" si="81"/>
        <v>436.44474545541772</v>
      </c>
      <c r="BC91" s="1056">
        <f t="shared" si="82"/>
        <v>319.53271179053746</v>
      </c>
      <c r="BD91" s="1082">
        <f t="shared" si="90"/>
        <v>6.0874894631336005</v>
      </c>
      <c r="BE91" s="1056">
        <f t="shared" si="54"/>
        <v>762.06494670908876</v>
      </c>
      <c r="BF91" s="167">
        <v>0</v>
      </c>
      <c r="BG91" s="1075">
        <f t="shared" si="83"/>
        <v>762.06494670908876</v>
      </c>
      <c r="BI91" s="1055">
        <f t="shared" si="84"/>
        <v>436.44474545541772</v>
      </c>
      <c r="BJ91" s="1056">
        <f t="shared" si="85"/>
        <v>319.53271179053746</v>
      </c>
      <c r="BK91" s="1082">
        <f t="shared" si="86"/>
        <v>6.0874894631336005</v>
      </c>
      <c r="BL91" s="1056">
        <f t="shared" si="55"/>
        <v>762.06494670908876</v>
      </c>
      <c r="BM91" s="167">
        <v>0</v>
      </c>
      <c r="BN91" s="1075">
        <f t="shared" si="87"/>
        <v>762.06494670908876</v>
      </c>
    </row>
    <row r="92" spans="1:66">
      <c r="A92" s="927">
        <f>'Input data'!A122</f>
        <v>2022</v>
      </c>
      <c r="B92" s="824">
        <f>'Input data'!B122</f>
        <v>60.682000000000002</v>
      </c>
      <c r="C92" s="824">
        <f>'Recycling - Case 2'!AK102/B92</f>
        <v>357.38243465011556</v>
      </c>
      <c r="D92" s="825">
        <f>'Recycling - Case 2'!AM102</f>
        <v>0.25693285611328925</v>
      </c>
      <c r="E92" s="826">
        <f>'Recycling - Case 2'!BE102</f>
        <v>0.18290190235754558</v>
      </c>
      <c r="F92" s="826">
        <f>'Recycling - Case 2'!BF102</f>
        <v>0.23196909385075409</v>
      </c>
      <c r="G92" s="826">
        <f>'Recycling - Case 2'!BG102</f>
        <v>7.151067371253228E-2</v>
      </c>
      <c r="H92" s="826">
        <f>'Recycling - Case 2'!BH102</f>
        <v>0</v>
      </c>
      <c r="I92" s="826">
        <f>'Recycling - Case 2'!BI102</f>
        <v>0</v>
      </c>
      <c r="J92" s="826">
        <f>'Recycling - Case 2'!BJ102</f>
        <v>0</v>
      </c>
      <c r="K92" s="826">
        <f>'Recycling - Case 2'!BK102</f>
        <v>0.51361833007916824</v>
      </c>
      <c r="L92" s="827">
        <f t="shared" si="89"/>
        <v>1.0000000000000002</v>
      </c>
      <c r="M92" s="4"/>
      <c r="N92" s="838">
        <f t="shared" si="56"/>
        <v>5572.0208631102023</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0.10243337360879556</v>
      </c>
      <c r="Q92" s="832">
        <f t="shared" si="57"/>
        <v>237.96338845862937</v>
      </c>
      <c r="R92" s="832">
        <f t="shared" si="58"/>
        <v>237.96338845862937</v>
      </c>
      <c r="S92" s="835">
        <f t="shared" si="59"/>
        <v>0</v>
      </c>
      <c r="T92" s="832">
        <f t="shared" si="60"/>
        <v>12683.575933585815</v>
      </c>
      <c r="U92" s="832">
        <f t="shared" si="61"/>
        <v>638.10020025986967</v>
      </c>
      <c r="V92" s="839">
        <f t="shared" si="62"/>
        <v>425.40013350657978</v>
      </c>
      <c r="W92" s="4"/>
      <c r="X92" s="852">
        <f>'Recycling - Case 2'!AM142</f>
        <v>0</v>
      </c>
      <c r="Y92" s="853">
        <f>Parameters!S227</f>
        <v>0.71500000000000008</v>
      </c>
      <c r="Z92" s="853">
        <f t="shared" si="63"/>
        <v>0.4</v>
      </c>
      <c r="AA92" s="854">
        <f t="shared" si="64"/>
        <v>0</v>
      </c>
      <c r="AB92" s="854">
        <f t="shared" si="65"/>
        <v>0</v>
      </c>
      <c r="AC92" s="855">
        <f t="shared" si="66"/>
        <v>0</v>
      </c>
      <c r="AD92" s="854">
        <f t="shared" si="67"/>
        <v>8921.0742242674205</v>
      </c>
      <c r="AE92" s="854">
        <f t="shared" si="68"/>
        <v>457.39325633007877</v>
      </c>
      <c r="AF92" s="856">
        <f t="shared" si="69"/>
        <v>304.92883755338585</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8921.0742242674205</v>
      </c>
      <c r="AO92" s="854">
        <f t="shared" si="75"/>
        <v>457.39325633007877</v>
      </c>
      <c r="AP92" s="856">
        <f t="shared" si="76"/>
        <v>304.92883755338585</v>
      </c>
      <c r="AR92" s="1042">
        <f>'Recycling - Case 2'!G102</f>
        <v>593.34234160989524</v>
      </c>
      <c r="AS92" s="1043">
        <v>1</v>
      </c>
      <c r="AT92" s="1043">
        <f t="shared" si="77"/>
        <v>0.05</v>
      </c>
      <c r="AU92" s="1044">
        <f t="shared" si="78"/>
        <v>14.833558540247381</v>
      </c>
      <c r="AV92" s="1044">
        <f t="shared" si="79"/>
        <v>14.833558540247381</v>
      </c>
      <c r="AW92" s="1045">
        <f t="shared" si="80"/>
        <v>0</v>
      </c>
      <c r="AX92" s="1044">
        <f t="shared" si="44"/>
        <v>167.45400875511325</v>
      </c>
      <c r="AY92" s="1044">
        <f t="shared" si="49"/>
        <v>9.4375215734852933</v>
      </c>
      <c r="AZ92" s="1046">
        <f t="shared" si="47"/>
        <v>6.2916810489901955</v>
      </c>
      <c r="BA92" s="4"/>
      <c r="BB92" s="1055">
        <f t="shared" si="81"/>
        <v>425.40013350657978</v>
      </c>
      <c r="BC92" s="1056">
        <f t="shared" si="82"/>
        <v>304.92883755338585</v>
      </c>
      <c r="BD92" s="1082">
        <f t="shared" si="90"/>
        <v>6.2916810489901955</v>
      </c>
      <c r="BE92" s="1056">
        <f t="shared" si="54"/>
        <v>736.62065210895582</v>
      </c>
      <c r="BF92" s="167">
        <v>0</v>
      </c>
      <c r="BG92" s="1075">
        <f t="shared" si="83"/>
        <v>736.62065210895582</v>
      </c>
      <c r="BI92" s="1055">
        <f t="shared" si="84"/>
        <v>425.40013350657978</v>
      </c>
      <c r="BJ92" s="1056">
        <f t="shared" si="85"/>
        <v>304.92883755338585</v>
      </c>
      <c r="BK92" s="1082">
        <f t="shared" si="86"/>
        <v>6.2916810489901955</v>
      </c>
      <c r="BL92" s="1056">
        <f t="shared" si="55"/>
        <v>736.62065210895582</v>
      </c>
      <c r="BM92" s="167">
        <v>0</v>
      </c>
      <c r="BN92" s="1075">
        <f t="shared" si="87"/>
        <v>736.62065210895582</v>
      </c>
    </row>
    <row r="93" spans="1:66">
      <c r="A93" s="927">
        <f>'Input data'!A123</f>
        <v>2023</v>
      </c>
      <c r="B93" s="824">
        <f>'Input data'!B123</f>
        <v>61.381</v>
      </c>
      <c r="C93" s="824">
        <f>'Recycling - Case 2'!AK103/B93</f>
        <v>349.33280087815695</v>
      </c>
      <c r="D93" s="825">
        <f>'Recycling - Case 2'!AM103</f>
        <v>0.24426838550960567</v>
      </c>
      <c r="E93" s="826">
        <f>'Recycling - Case 2'!BE103</f>
        <v>0.18636085755822557</v>
      </c>
      <c r="F93" s="826">
        <f>'Recycling - Case 2'!BF103</f>
        <v>0.23635598481924494</v>
      </c>
      <c r="G93" s="826">
        <f>'Recycling - Case 2'!BG103</f>
        <v>6.9596441529594766E-2</v>
      </c>
      <c r="H93" s="826">
        <f>'Recycling - Case 2'!BH103</f>
        <v>0</v>
      </c>
      <c r="I93" s="826">
        <f>'Recycling - Case 2'!BI103</f>
        <v>0</v>
      </c>
      <c r="J93" s="826">
        <f>'Recycling - Case 2'!BJ103</f>
        <v>0</v>
      </c>
      <c r="K93" s="826">
        <f>'Recycling - Case 2'!BK103</f>
        <v>0.5076867160929347</v>
      </c>
      <c r="L93" s="827">
        <f t="shared" si="89"/>
        <v>1</v>
      </c>
      <c r="M93" s="4"/>
      <c r="N93" s="838">
        <f t="shared" si="56"/>
        <v>5237.69961132359</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0.10306390220942073</v>
      </c>
      <c r="Q93" s="832">
        <f t="shared" si="57"/>
        <v>230.66828152466709</v>
      </c>
      <c r="R93" s="832">
        <f t="shared" si="58"/>
        <v>230.66828152466709</v>
      </c>
      <c r="S93" s="835">
        <f t="shared" si="59"/>
        <v>0</v>
      </c>
      <c r="T93" s="832">
        <f t="shared" si="60"/>
        <v>12295.658917440609</v>
      </c>
      <c r="U93" s="832">
        <f t="shared" si="61"/>
        <v>618.58529766987374</v>
      </c>
      <c r="V93" s="839">
        <f t="shared" si="62"/>
        <v>412.39019844658247</v>
      </c>
      <c r="W93" s="4"/>
      <c r="X93" s="852">
        <f>'Recycling - Case 2'!AM143</f>
        <v>0</v>
      </c>
      <c r="Y93" s="853">
        <f>Parameters!S228</f>
        <v>0.71500000000000008</v>
      </c>
      <c r="Z93" s="853">
        <f t="shared" si="63"/>
        <v>0.4</v>
      </c>
      <c r="AA93" s="854">
        <f t="shared" si="64"/>
        <v>0</v>
      </c>
      <c r="AB93" s="854">
        <f t="shared" si="65"/>
        <v>0</v>
      </c>
      <c r="AC93" s="855">
        <f t="shared" si="66"/>
        <v>0</v>
      </c>
      <c r="AD93" s="854">
        <f t="shared" si="67"/>
        <v>8485.9883002780516</v>
      </c>
      <c r="AE93" s="854">
        <f t="shared" si="68"/>
        <v>435.08592398936838</v>
      </c>
      <c r="AF93" s="856">
        <f t="shared" si="69"/>
        <v>290.0572826595789</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8485.9883002780516</v>
      </c>
      <c r="AO93" s="854">
        <f t="shared" si="75"/>
        <v>435.08592398936838</v>
      </c>
      <c r="AP93" s="856">
        <f t="shared" si="76"/>
        <v>290.0572826595789</v>
      </c>
      <c r="AQ93" s="4"/>
      <c r="AR93" s="1042">
        <f>'Recycling - Case 2'!G103</f>
        <v>611.39866394209514</v>
      </c>
      <c r="AS93" s="1043">
        <v>1</v>
      </c>
      <c r="AT93" s="1043">
        <f t="shared" si="77"/>
        <v>0.05</v>
      </c>
      <c r="AU93" s="1044">
        <f t="shared" si="78"/>
        <v>15.28496659855238</v>
      </c>
      <c r="AV93" s="1044">
        <f t="shared" si="79"/>
        <v>15.28496659855238</v>
      </c>
      <c r="AW93" s="1045">
        <f t="shared" si="80"/>
        <v>0</v>
      </c>
      <c r="AX93" s="1044">
        <f t="shared" si="44"/>
        <v>172.98721305062432</v>
      </c>
      <c r="AY93" s="1044">
        <f t="shared" si="49"/>
        <v>9.7517623030413194</v>
      </c>
      <c r="AZ93" s="1046">
        <f t="shared" si="47"/>
        <v>6.5011748686942132</v>
      </c>
      <c r="BA93" s="4"/>
      <c r="BB93" s="1055">
        <f t="shared" si="81"/>
        <v>412.39019844658247</v>
      </c>
      <c r="BC93" s="1056">
        <f t="shared" si="82"/>
        <v>290.0572826595789</v>
      </c>
      <c r="BD93" s="1082">
        <f t="shared" si="90"/>
        <v>6.5011748686942132</v>
      </c>
      <c r="BE93" s="1056">
        <f t="shared" si="54"/>
        <v>708.94865597485557</v>
      </c>
      <c r="BF93" s="167">
        <v>0</v>
      </c>
      <c r="BG93" s="1075">
        <f t="shared" si="83"/>
        <v>708.94865597485557</v>
      </c>
      <c r="BI93" s="1055">
        <f t="shared" si="84"/>
        <v>412.39019844658247</v>
      </c>
      <c r="BJ93" s="1056">
        <f t="shared" si="85"/>
        <v>290.0572826595789</v>
      </c>
      <c r="BK93" s="1082">
        <f t="shared" si="86"/>
        <v>6.5011748686942132</v>
      </c>
      <c r="BL93" s="1056">
        <f t="shared" si="55"/>
        <v>708.94865597485557</v>
      </c>
      <c r="BM93" s="167">
        <v>0</v>
      </c>
      <c r="BN93" s="1075">
        <f t="shared" si="87"/>
        <v>708.94865597485557</v>
      </c>
    </row>
    <row r="94" spans="1:66">
      <c r="A94" s="927">
        <f>'Input data'!A124</f>
        <v>2024</v>
      </c>
      <c r="B94" s="824">
        <f>'Input data'!B124</f>
        <v>62.088000000000001</v>
      </c>
      <c r="C94" s="824">
        <f>'Recycling - Case 2'!AK104/B94</f>
        <v>341.44772756277496</v>
      </c>
      <c r="D94" s="825">
        <f>'Recycling - Case 2'!AM104</f>
        <v>0.23129354305542368</v>
      </c>
      <c r="E94" s="826">
        <f>'Recycling - Case 2'!BE104</f>
        <v>0.18986985259566763</v>
      </c>
      <c r="F94" s="826">
        <f>'Recycling - Case 2'!BF104</f>
        <v>0.24080633983835789</v>
      </c>
      <c r="G94" s="826">
        <f>'Recycling - Case 2'!BG104</f>
        <v>6.7651093579738281E-2</v>
      </c>
      <c r="H94" s="826">
        <f>'Recycling - Case 2'!BH104</f>
        <v>0</v>
      </c>
      <c r="I94" s="826">
        <f>'Recycling - Case 2'!BI104</f>
        <v>0</v>
      </c>
      <c r="J94" s="826">
        <f>'Recycling - Case 2'!BJ104</f>
        <v>0</v>
      </c>
      <c r="K94" s="826">
        <f>'Recycling - Case 2'!BK104</f>
        <v>0.50167271398623581</v>
      </c>
      <c r="L94" s="827">
        <f t="shared" si="89"/>
        <v>0.99999999999999967</v>
      </c>
      <c r="M94" s="4"/>
      <c r="N94" s="838">
        <f t="shared" si="56"/>
        <v>4903.3783595369778</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0.10370218328891705</v>
      </c>
      <c r="Q94" s="832">
        <f t="shared" si="57"/>
        <v>222.56261734055673</v>
      </c>
      <c r="R94" s="832">
        <f t="shared" si="58"/>
        <v>222.56261734055673</v>
      </c>
      <c r="S94" s="835">
        <f t="shared" si="59"/>
        <v>0</v>
      </c>
      <c r="T94" s="832">
        <f t="shared" si="60"/>
        <v>11918.555173234659</v>
      </c>
      <c r="U94" s="832">
        <f t="shared" si="61"/>
        <v>599.66636154650621</v>
      </c>
      <c r="V94" s="839">
        <f t="shared" si="62"/>
        <v>399.77757436433745</v>
      </c>
      <c r="W94" s="4"/>
      <c r="X94" s="852">
        <f>'Recycling - Case 2'!AM144</f>
        <v>0</v>
      </c>
      <c r="Y94" s="853">
        <f>Parameters!S229</f>
        <v>0.71500000000000008</v>
      </c>
      <c r="Z94" s="853">
        <f t="shared" si="63"/>
        <v>0.4</v>
      </c>
      <c r="AA94" s="854">
        <f t="shared" si="64"/>
        <v>0</v>
      </c>
      <c r="AB94" s="854">
        <f t="shared" si="65"/>
        <v>0</v>
      </c>
      <c r="AC94" s="855">
        <f t="shared" si="66"/>
        <v>0</v>
      </c>
      <c r="AD94" s="854">
        <f t="shared" si="67"/>
        <v>8072.1217671932836</v>
      </c>
      <c r="AE94" s="854">
        <f t="shared" si="68"/>
        <v>413.86653308476826</v>
      </c>
      <c r="AF94" s="856">
        <f t="shared" si="69"/>
        <v>275.91102205651219</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8072.1217671932836</v>
      </c>
      <c r="AO94" s="854">
        <f t="shared" si="75"/>
        <v>413.86653308476826</v>
      </c>
      <c r="AP94" s="856">
        <f t="shared" si="76"/>
        <v>275.91102205651219</v>
      </c>
      <c r="AQ94" s="4"/>
      <c r="AR94" s="1042">
        <f>'Recycling - Case 2'!G104</f>
        <v>629.79171457903931</v>
      </c>
      <c r="AS94" s="1043">
        <v>1</v>
      </c>
      <c r="AT94" s="1043">
        <f t="shared" si="77"/>
        <v>0.05</v>
      </c>
      <c r="AU94" s="1044">
        <f t="shared" si="78"/>
        <v>15.744792864475983</v>
      </c>
      <c r="AV94" s="1044">
        <f t="shared" si="79"/>
        <v>15.744792864475983</v>
      </c>
      <c r="AW94" s="1045">
        <f t="shared" si="80"/>
        <v>0</v>
      </c>
      <c r="AX94" s="1044">
        <f t="shared" si="44"/>
        <v>178.65801487913626</v>
      </c>
      <c r="AY94" s="1044">
        <f t="shared" si="49"/>
        <v>10.073991035964044</v>
      </c>
      <c r="AZ94" s="1046">
        <f t="shared" si="47"/>
        <v>6.7159940239760294</v>
      </c>
      <c r="BA94" s="4"/>
      <c r="BB94" s="1055">
        <f t="shared" si="81"/>
        <v>399.77757436433745</v>
      </c>
      <c r="BC94" s="1056">
        <f t="shared" si="82"/>
        <v>275.91102205651219</v>
      </c>
      <c r="BD94" s="1082">
        <f t="shared" si="90"/>
        <v>6.7159940239760294</v>
      </c>
      <c r="BE94" s="1056">
        <f t="shared" si="54"/>
        <v>682.40459044482566</v>
      </c>
      <c r="BF94" s="167">
        <v>0</v>
      </c>
      <c r="BG94" s="1075">
        <f t="shared" si="83"/>
        <v>682.40459044482566</v>
      </c>
      <c r="BI94" s="1055">
        <f t="shared" si="84"/>
        <v>399.77757436433745</v>
      </c>
      <c r="BJ94" s="1056">
        <f t="shared" si="85"/>
        <v>275.91102205651219</v>
      </c>
      <c r="BK94" s="1082">
        <f t="shared" si="86"/>
        <v>6.7159940239760294</v>
      </c>
      <c r="BL94" s="1056">
        <f t="shared" si="55"/>
        <v>682.40459044482566</v>
      </c>
      <c r="BM94" s="167">
        <v>0</v>
      </c>
      <c r="BN94" s="1075">
        <f t="shared" si="87"/>
        <v>682.40459044482566</v>
      </c>
    </row>
    <row r="95" spans="1:66">
      <c r="A95" s="927">
        <f>'Input data'!A125</f>
        <v>2025</v>
      </c>
      <c r="B95" s="824">
        <f>'Input data'!B125</f>
        <v>62.802999999999997</v>
      </c>
      <c r="C95" s="824">
        <f>'Recycling - Case 2'!AK105/B95</f>
        <v>333.72430107724745</v>
      </c>
      <c r="D95" s="825">
        <f>'Recycling - Case 2'!AM105</f>
        <v>0.21800093900927323</v>
      </c>
      <c r="E95" s="826">
        <f>'Recycling - Case 2'!BE105</f>
        <v>0.1934307747438028</v>
      </c>
      <c r="F95" s="826">
        <f>'Recycling - Case 2'!BF105</f>
        <v>0.24532255248201454</v>
      </c>
      <c r="G95" s="826">
        <f>'Recycling - Case 2'!BG105</f>
        <v>6.5673494183742145E-2</v>
      </c>
      <c r="H95" s="826">
        <f>'Recycling - Case 2'!BH105</f>
        <v>0</v>
      </c>
      <c r="I95" s="826">
        <f>'Recycling - Case 2'!BI105</f>
        <v>0</v>
      </c>
      <c r="J95" s="826">
        <f>'Recycling - Case 2'!BJ105</f>
        <v>0</v>
      </c>
      <c r="K95" s="826">
        <f>'Recycling - Case 2'!BK105</f>
        <v>0.49557317859044042</v>
      </c>
      <c r="L95" s="827">
        <f t="shared" si="89"/>
        <v>1</v>
      </c>
      <c r="M95" s="4"/>
      <c r="N95" s="838">
        <f t="shared" si="56"/>
        <v>4569.0571077503655</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0.10434852438147019</v>
      </c>
      <c r="Q95" s="832">
        <f t="shared" si="57"/>
        <v>213.63159137107982</v>
      </c>
      <c r="R95" s="832">
        <f t="shared" si="58"/>
        <v>213.63159137107982</v>
      </c>
      <c r="S95" s="835">
        <f t="shared" si="59"/>
        <v>0</v>
      </c>
      <c r="T95" s="832">
        <f t="shared" si="60"/>
        <v>11550.911969687093</v>
      </c>
      <c r="U95" s="832">
        <f t="shared" si="61"/>
        <v>581.27479491864653</v>
      </c>
      <c r="V95" s="839">
        <f t="shared" si="62"/>
        <v>387.51652994576438</v>
      </c>
      <c r="W95" s="4"/>
      <c r="X95" s="852">
        <f>'Recycling - Case 2'!AM145</f>
        <v>0</v>
      </c>
      <c r="Y95" s="853">
        <f>Parameters!S230</f>
        <v>0.71500000000000008</v>
      </c>
      <c r="Z95" s="853">
        <f t="shared" si="63"/>
        <v>0.4</v>
      </c>
      <c r="AA95" s="854">
        <f t="shared" si="64"/>
        <v>0</v>
      </c>
      <c r="AB95" s="854">
        <f t="shared" si="65"/>
        <v>0</v>
      </c>
      <c r="AC95" s="855">
        <f t="shared" si="66"/>
        <v>0</v>
      </c>
      <c r="AD95" s="854">
        <f t="shared" si="67"/>
        <v>7678.4397431069538</v>
      </c>
      <c r="AE95" s="854">
        <f t="shared" si="68"/>
        <v>393.68202408632982</v>
      </c>
      <c r="AF95" s="856">
        <f t="shared" si="69"/>
        <v>262.45468272421988</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7678.4397431069538</v>
      </c>
      <c r="AO95" s="854">
        <f t="shared" si="75"/>
        <v>393.68202408632982</v>
      </c>
      <c r="AP95" s="856">
        <f t="shared" si="76"/>
        <v>262.45468272421988</v>
      </c>
      <c r="AQ95" s="4"/>
      <c r="AR95" s="1042">
        <f>'Recycling - Case 2'!G105</f>
        <v>648.52588116082893</v>
      </c>
      <c r="AS95" s="1043">
        <v>1</v>
      </c>
      <c r="AT95" s="1043">
        <f t="shared" si="77"/>
        <v>0.05</v>
      </c>
      <c r="AU95" s="1044">
        <f t="shared" si="78"/>
        <v>16.213147029020725</v>
      </c>
      <c r="AV95" s="1044">
        <f t="shared" si="79"/>
        <v>16.213147029020725</v>
      </c>
      <c r="AW95" s="1045">
        <f t="shared" si="80"/>
        <v>0</v>
      </c>
      <c r="AX95" s="1044">
        <f t="shared" si="44"/>
        <v>184.46692908275824</v>
      </c>
      <c r="AY95" s="1044">
        <f t="shared" si="49"/>
        <v>10.404232825398733</v>
      </c>
      <c r="AZ95" s="1046">
        <f t="shared" si="47"/>
        <v>6.9361552169324883</v>
      </c>
      <c r="BA95" s="4"/>
      <c r="BB95" s="1055">
        <f t="shared" si="81"/>
        <v>387.51652994576438</v>
      </c>
      <c r="BC95" s="1056">
        <f t="shared" si="82"/>
        <v>262.45468272421988</v>
      </c>
      <c r="BD95" s="1082">
        <f t="shared" si="90"/>
        <v>6.9361552169324883</v>
      </c>
      <c r="BE95" s="1056">
        <f t="shared" si="54"/>
        <v>656.90736788691663</v>
      </c>
      <c r="BF95" s="167">
        <v>0</v>
      </c>
      <c r="BG95" s="1075">
        <f t="shared" si="83"/>
        <v>656.90736788691663</v>
      </c>
      <c r="BI95" s="1055">
        <f t="shared" si="84"/>
        <v>387.51652994576438</v>
      </c>
      <c r="BJ95" s="1056">
        <f t="shared" si="85"/>
        <v>262.45468272421988</v>
      </c>
      <c r="BK95" s="1082">
        <f t="shared" si="86"/>
        <v>6.9361552169324883</v>
      </c>
      <c r="BL95" s="1056">
        <f t="shared" si="55"/>
        <v>656.90736788691663</v>
      </c>
      <c r="BM95" s="167">
        <v>0</v>
      </c>
      <c r="BN95" s="1075">
        <f t="shared" si="87"/>
        <v>656.90736788691663</v>
      </c>
    </row>
    <row r="96" spans="1:66">
      <c r="A96" s="927">
        <f>'Input data'!A126</f>
        <v>2026</v>
      </c>
      <c r="B96" s="824">
        <f>'Input data'!B126</f>
        <v>63.420999999999999</v>
      </c>
      <c r="C96" s="824">
        <f>'Recycling - Case 2'!AK106/B96</f>
        <v>326.49568794842071</v>
      </c>
      <c r="D96" s="825">
        <f>'Recycling - Case 2'!AM106</f>
        <v>0.20451058485677936</v>
      </c>
      <c r="E96" s="826">
        <f>'Recycling - Case 2'!BE106</f>
        <v>0.1969009314457523</v>
      </c>
      <c r="F96" s="826">
        <f>'Recycling - Case 2'!BF106</f>
        <v>0.24972364998453123</v>
      </c>
      <c r="G96" s="826">
        <f>'Recycling - Case 2'!BG106</f>
        <v>6.370022922705966E-2</v>
      </c>
      <c r="H96" s="826">
        <f>'Recycling - Case 2'!BH106</f>
        <v>0</v>
      </c>
      <c r="I96" s="826">
        <f>'Recycling - Case 2'!BI106</f>
        <v>0</v>
      </c>
      <c r="J96" s="826">
        <f>'Recycling - Case 2'!BJ106</f>
        <v>0</v>
      </c>
      <c r="K96" s="826">
        <f>'Recycling - Case 2'!BK106</f>
        <v>0.48967518934265669</v>
      </c>
      <c r="L96" s="827">
        <f t="shared" si="89"/>
        <v>0.99999999999999978</v>
      </c>
      <c r="M96" s="4"/>
      <c r="N96" s="838">
        <f t="shared" si="56"/>
        <v>4234.7358559637532</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0.10495996140459295</v>
      </c>
      <c r="Q96" s="832">
        <f t="shared" si="57"/>
        <v>203.77593565566028</v>
      </c>
      <c r="R96" s="832">
        <f t="shared" si="58"/>
        <v>203.77593565566028</v>
      </c>
      <c r="S96" s="835">
        <f t="shared" si="59"/>
        <v>0</v>
      </c>
      <c r="T96" s="832">
        <f t="shared" si="60"/>
        <v>11191.343281039522</v>
      </c>
      <c r="U96" s="832">
        <f t="shared" si="61"/>
        <v>563.3446243032306</v>
      </c>
      <c r="V96" s="839">
        <f t="shared" si="62"/>
        <v>375.5630828688204</v>
      </c>
      <c r="W96" s="4"/>
      <c r="X96" s="852">
        <f>'Recycling - Case 2'!AM146</f>
        <v>0</v>
      </c>
      <c r="Y96" s="853">
        <f>Parameters!S231</f>
        <v>0.71500000000000008</v>
      </c>
      <c r="Z96" s="853">
        <f t="shared" si="63"/>
        <v>0.4</v>
      </c>
      <c r="AA96" s="854">
        <f t="shared" si="64"/>
        <v>0</v>
      </c>
      <c r="AB96" s="854">
        <f t="shared" si="65"/>
        <v>0</v>
      </c>
      <c r="AC96" s="855">
        <f t="shared" si="66"/>
        <v>0</v>
      </c>
      <c r="AD96" s="854">
        <f t="shared" si="67"/>
        <v>7303.9578178990378</v>
      </c>
      <c r="AE96" s="854">
        <f t="shared" si="68"/>
        <v>374.48192520791576</v>
      </c>
      <c r="AF96" s="856">
        <f t="shared" si="69"/>
        <v>249.65461680527719</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7303.9578178990378</v>
      </c>
      <c r="AO96" s="854">
        <f t="shared" si="75"/>
        <v>374.48192520791576</v>
      </c>
      <c r="AP96" s="856">
        <f t="shared" si="76"/>
        <v>249.65461680527719</v>
      </c>
      <c r="AQ96" s="4"/>
      <c r="AR96" s="1042">
        <f>'Recycling - Case 2'!G106</f>
        <v>666.50208844796612</v>
      </c>
      <c r="AS96" s="1043">
        <v>1</v>
      </c>
      <c r="AT96" s="1043">
        <f t="shared" si="77"/>
        <v>0.05</v>
      </c>
      <c r="AU96" s="1044">
        <f t="shared" si="78"/>
        <v>16.662552211199152</v>
      </c>
      <c r="AV96" s="1044">
        <f t="shared" si="79"/>
        <v>16.662552211199152</v>
      </c>
      <c r="AW96" s="1045">
        <f t="shared" si="80"/>
        <v>0</v>
      </c>
      <c r="AX96" s="1044">
        <f t="shared" si="44"/>
        <v>190.38696364054164</v>
      </c>
      <c r="AY96" s="1044">
        <f t="shared" si="49"/>
        <v>10.74251765341574</v>
      </c>
      <c r="AZ96" s="1046">
        <f t="shared" si="47"/>
        <v>7.1616784356104937</v>
      </c>
      <c r="BA96" s="4"/>
      <c r="BB96" s="1055">
        <f t="shared" si="81"/>
        <v>375.5630828688204</v>
      </c>
      <c r="BC96" s="1056">
        <f t="shared" si="82"/>
        <v>249.65461680527719</v>
      </c>
      <c r="BD96" s="1082">
        <f t="shared" si="90"/>
        <v>7.1616784356104937</v>
      </c>
      <c r="BE96" s="1056">
        <f t="shared" si="54"/>
        <v>632.37937810970811</v>
      </c>
      <c r="BF96" s="167">
        <v>0</v>
      </c>
      <c r="BG96" s="1075">
        <f t="shared" si="83"/>
        <v>632.37937810970811</v>
      </c>
      <c r="BI96" s="1055">
        <f t="shared" si="84"/>
        <v>375.5630828688204</v>
      </c>
      <c r="BJ96" s="1056">
        <f t="shared" si="85"/>
        <v>249.65461680527719</v>
      </c>
      <c r="BK96" s="1082">
        <f t="shared" si="86"/>
        <v>7.1616784356104937</v>
      </c>
      <c r="BL96" s="1056">
        <f t="shared" si="55"/>
        <v>632.37937810970811</v>
      </c>
      <c r="BM96" s="167">
        <v>0</v>
      </c>
      <c r="BN96" s="1075">
        <f t="shared" si="87"/>
        <v>632.37937810970811</v>
      </c>
    </row>
    <row r="97" spans="1:66">
      <c r="A97" s="927">
        <f>'Input data'!A127</f>
        <v>2027</v>
      </c>
      <c r="B97" s="824">
        <f>'Input data'!B127</f>
        <v>64.046000000000006</v>
      </c>
      <c r="C97" s="824">
        <f>'Recycling - Case 2'!AK107/B97</f>
        <v>319.38662961019782</v>
      </c>
      <c r="D97" s="825">
        <f>'Recycling - Case 2'!AM107</f>
        <v>0.19067863373433067</v>
      </c>
      <c r="E97" s="826">
        <f>'Recycling - Case 2'!BE107</f>
        <v>0.20043328352566561</v>
      </c>
      <c r="F97" s="826">
        <f>'Recycling - Case 2'!BF107</f>
        <v>0.25420362805243291</v>
      </c>
      <c r="G97" s="826">
        <f>'Recycling - Case 2'!BG107</f>
        <v>6.1689375497640628E-2</v>
      </c>
      <c r="H97" s="826">
        <f>'Recycling - Case 2'!BH107</f>
        <v>0</v>
      </c>
      <c r="I97" s="826">
        <f>'Recycling - Case 2'!BI107</f>
        <v>0</v>
      </c>
      <c r="J97" s="826">
        <f>'Recycling - Case 2'!BJ107</f>
        <v>0</v>
      </c>
      <c r="K97" s="826">
        <f>'Recycling - Case 2'!BK107</f>
        <v>0.4836737129242607</v>
      </c>
      <c r="L97" s="827">
        <f t="shared" si="89"/>
        <v>0.99999999999999978</v>
      </c>
      <c r="M97" s="4"/>
      <c r="N97" s="838">
        <f t="shared" si="56"/>
        <v>3900.4146041771414</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0.10558146833839267</v>
      </c>
      <c r="Q97" s="832">
        <f t="shared" si="57"/>
        <v>193.07623837105876</v>
      </c>
      <c r="R97" s="832">
        <f t="shared" si="58"/>
        <v>193.07623837105876</v>
      </c>
      <c r="S97" s="835">
        <f t="shared" si="59"/>
        <v>0</v>
      </c>
      <c r="T97" s="832">
        <f t="shared" si="60"/>
        <v>10838.611266984217</v>
      </c>
      <c r="U97" s="832">
        <f t="shared" si="61"/>
        <v>545.8082524263649</v>
      </c>
      <c r="V97" s="839">
        <f t="shared" si="62"/>
        <v>363.87216828424329</v>
      </c>
      <c r="W97" s="4"/>
      <c r="X97" s="852">
        <f>'Recycling - Case 2'!AM147</f>
        <v>0</v>
      </c>
      <c r="Y97" s="853">
        <f>Parameters!S232</f>
        <v>0.71500000000000008</v>
      </c>
      <c r="Z97" s="853">
        <f t="shared" si="63"/>
        <v>0.4</v>
      </c>
      <c r="AA97" s="854">
        <f t="shared" si="64"/>
        <v>0</v>
      </c>
      <c r="AB97" s="854">
        <f t="shared" si="65"/>
        <v>0</v>
      </c>
      <c r="AC97" s="855">
        <f t="shared" si="66"/>
        <v>0</v>
      </c>
      <c r="AD97" s="854">
        <f t="shared" si="67"/>
        <v>6947.7395916975929</v>
      </c>
      <c r="AE97" s="854">
        <f t="shared" si="68"/>
        <v>356.21822620144513</v>
      </c>
      <c r="AF97" s="856">
        <f t="shared" si="69"/>
        <v>237.47881746763008</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6947.7395916975929</v>
      </c>
      <c r="AO97" s="854">
        <f t="shared" si="75"/>
        <v>356.21822620144513</v>
      </c>
      <c r="AP97" s="856">
        <f t="shared" si="76"/>
        <v>237.47881746763008</v>
      </c>
      <c r="AQ97" s="4"/>
      <c r="AR97" s="1042">
        <f>'Recycling - Case 2'!G107</f>
        <v>684.77910312064694</v>
      </c>
      <c r="AS97" s="1043">
        <v>1</v>
      </c>
      <c r="AT97" s="1043">
        <f t="shared" si="77"/>
        <v>0.05</v>
      </c>
      <c r="AU97" s="1044">
        <f t="shared" si="78"/>
        <v>17.119477578016173</v>
      </c>
      <c r="AV97" s="1044">
        <f t="shared" si="79"/>
        <v>17.119477578016173</v>
      </c>
      <c r="AW97" s="1045">
        <f t="shared" si="80"/>
        <v>0</v>
      </c>
      <c r="AX97" s="1044">
        <f t="shared" si="44"/>
        <v>196.41916759147216</v>
      </c>
      <c r="AY97" s="1044">
        <f t="shared" si="49"/>
        <v>11.087273627085622</v>
      </c>
      <c r="AZ97" s="1046">
        <f t="shared" si="47"/>
        <v>7.3915157513904148</v>
      </c>
      <c r="BA97" s="4"/>
      <c r="BB97" s="1055">
        <f t="shared" si="81"/>
        <v>363.87216828424329</v>
      </c>
      <c r="BC97" s="1056">
        <f t="shared" si="82"/>
        <v>237.47881746763008</v>
      </c>
      <c r="BD97" s="1082">
        <f t="shared" si="90"/>
        <v>7.3915157513904148</v>
      </c>
      <c r="BE97" s="1056">
        <f t="shared" si="54"/>
        <v>608.74250150326384</v>
      </c>
      <c r="BF97" s="167">
        <v>0</v>
      </c>
      <c r="BG97" s="1075">
        <f t="shared" si="83"/>
        <v>608.74250150326384</v>
      </c>
      <c r="BI97" s="1055">
        <f t="shared" si="84"/>
        <v>363.87216828424329</v>
      </c>
      <c r="BJ97" s="1056">
        <f t="shared" si="85"/>
        <v>237.47881746763008</v>
      </c>
      <c r="BK97" s="1082">
        <f t="shared" si="86"/>
        <v>7.3915157513904148</v>
      </c>
      <c r="BL97" s="1056">
        <f t="shared" si="55"/>
        <v>608.74250150326384</v>
      </c>
      <c r="BM97" s="167">
        <v>0</v>
      </c>
      <c r="BN97" s="1075">
        <f t="shared" si="87"/>
        <v>608.74250150326384</v>
      </c>
    </row>
    <row r="98" spans="1:66">
      <c r="A98" s="927">
        <f>'Input data'!A128</f>
        <v>2028</v>
      </c>
      <c r="B98" s="824">
        <f>'Input data'!B128</f>
        <v>64.676000000000002</v>
      </c>
      <c r="C98" s="824">
        <f>'Recycling - Case 2'!AK108/B98</f>
        <v>312.40106541649413</v>
      </c>
      <c r="D98" s="825">
        <f>'Recycling - Case 2'!AM108</f>
        <v>0.17649688672426553</v>
      </c>
      <c r="E98" s="826">
        <f>'Recycling - Case 2'!BE108</f>
        <v>0.20402733633371381</v>
      </c>
      <c r="F98" s="826">
        <f>'Recycling - Case 2'!BF108</f>
        <v>0.25876185933591606</v>
      </c>
      <c r="G98" s="826">
        <f>'Recycling - Case 2'!BG108</f>
        <v>5.9640291282211953E-2</v>
      </c>
      <c r="H98" s="826">
        <f>'Recycling - Case 2'!BH108</f>
        <v>0</v>
      </c>
      <c r="I98" s="826">
        <f>'Recycling - Case 2'!BI108</f>
        <v>0</v>
      </c>
      <c r="J98" s="826">
        <f>'Recycling - Case 2'!BJ108</f>
        <v>0</v>
      </c>
      <c r="K98" s="826">
        <f>'Recycling - Case 2'!BK108</f>
        <v>0.47757051304815806</v>
      </c>
      <c r="L98" s="827">
        <f t="shared" si="89"/>
        <v>0.99999999999999978</v>
      </c>
      <c r="M98" s="4"/>
      <c r="N98" s="838">
        <f t="shared" si="56"/>
        <v>3566.0933523905292</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0.10621258883012506</v>
      </c>
      <c r="Q98" s="832">
        <f t="shared" si="57"/>
        <v>181.51536641586637</v>
      </c>
      <c r="R98" s="832">
        <f t="shared" si="58"/>
        <v>181.51536641586637</v>
      </c>
      <c r="S98" s="835">
        <f t="shared" si="59"/>
        <v>0</v>
      </c>
      <c r="T98" s="832">
        <f t="shared" si="60"/>
        <v>10491.521324296218</v>
      </c>
      <c r="U98" s="832">
        <f t="shared" si="61"/>
        <v>528.60530910386547</v>
      </c>
      <c r="V98" s="839">
        <f t="shared" si="62"/>
        <v>352.403539402577</v>
      </c>
      <c r="W98" s="4"/>
      <c r="X98" s="852">
        <f>'Recycling - Case 2'!AM148</f>
        <v>0</v>
      </c>
      <c r="Y98" s="853">
        <f>Parameters!S233</f>
        <v>0.71500000000000008</v>
      </c>
      <c r="Z98" s="853">
        <f t="shared" si="63"/>
        <v>0.4</v>
      </c>
      <c r="AA98" s="854">
        <f t="shared" si="64"/>
        <v>0</v>
      </c>
      <c r="AB98" s="854">
        <f t="shared" si="65"/>
        <v>0</v>
      </c>
      <c r="AC98" s="855">
        <f t="shared" si="66"/>
        <v>0</v>
      </c>
      <c r="AD98" s="854">
        <f t="shared" si="67"/>
        <v>6608.8943333913267</v>
      </c>
      <c r="AE98" s="854">
        <f t="shared" si="68"/>
        <v>338.84525830626581</v>
      </c>
      <c r="AF98" s="856">
        <f t="shared" si="69"/>
        <v>225.89683887084388</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6608.8943333913267</v>
      </c>
      <c r="AO98" s="854">
        <f t="shared" si="75"/>
        <v>338.84525830626581</v>
      </c>
      <c r="AP98" s="856">
        <f t="shared" si="76"/>
        <v>225.89683887084388</v>
      </c>
      <c r="AQ98" s="4"/>
      <c r="AR98" s="1042">
        <f>'Recycling - Case 2'!G108</f>
        <v>703.33901475004564</v>
      </c>
      <c r="AS98" s="1043">
        <v>1</v>
      </c>
      <c r="AT98" s="1043">
        <f t="shared" si="77"/>
        <v>0.05</v>
      </c>
      <c r="AU98" s="1044">
        <f t="shared" si="78"/>
        <v>17.583475368751142</v>
      </c>
      <c r="AV98" s="1044">
        <f t="shared" si="79"/>
        <v>17.583475368751142</v>
      </c>
      <c r="AW98" s="1045">
        <f t="shared" si="80"/>
        <v>0</v>
      </c>
      <c r="AX98" s="1044">
        <f t="shared" si="44"/>
        <v>202.5640811225403</v>
      </c>
      <c r="AY98" s="1044">
        <f t="shared" si="49"/>
        <v>11.438561837682999</v>
      </c>
      <c r="AZ98" s="1046">
        <f t="shared" si="47"/>
        <v>7.6257078917886654</v>
      </c>
      <c r="BA98" s="4"/>
      <c r="BB98" s="1055">
        <f t="shared" si="81"/>
        <v>352.403539402577</v>
      </c>
      <c r="BC98" s="1056">
        <f t="shared" si="82"/>
        <v>225.89683887084388</v>
      </c>
      <c r="BD98" s="1082">
        <f t="shared" si="90"/>
        <v>7.6257078917886654</v>
      </c>
      <c r="BE98" s="1056">
        <f t="shared" si="54"/>
        <v>585.92608616520954</v>
      </c>
      <c r="BF98" s="167">
        <v>0</v>
      </c>
      <c r="BG98" s="1075">
        <f t="shared" si="83"/>
        <v>585.92608616520954</v>
      </c>
      <c r="BI98" s="1055">
        <f t="shared" si="84"/>
        <v>352.403539402577</v>
      </c>
      <c r="BJ98" s="1056">
        <f t="shared" si="85"/>
        <v>225.89683887084388</v>
      </c>
      <c r="BK98" s="1082">
        <f t="shared" si="86"/>
        <v>7.6257078917886654</v>
      </c>
      <c r="BL98" s="1056">
        <f t="shared" si="55"/>
        <v>585.92608616520954</v>
      </c>
      <c r="BM98" s="167">
        <v>0</v>
      </c>
      <c r="BN98" s="1075">
        <f t="shared" si="87"/>
        <v>585.92608616520954</v>
      </c>
    </row>
    <row r="99" spans="1:66">
      <c r="A99" s="927">
        <f>'Input data'!A129</f>
        <v>2029</v>
      </c>
      <c r="B99" s="824">
        <f>'Input data'!B129</f>
        <v>65.313000000000002</v>
      </c>
      <c r="C99" s="824">
        <f>'Recycling - Case 2'!AK109/B99</f>
        <v>305.53078863736653</v>
      </c>
      <c r="D99" s="825">
        <f>'Recycling - Case 2'!AM109</f>
        <v>0.16195192475313858</v>
      </c>
      <c r="E99" s="826">
        <f>'Recycling - Case 2'!BE109</f>
        <v>0.20768809633909027</v>
      </c>
      <c r="F99" s="826">
        <f>'Recycling - Case 2'!BF109</f>
        <v>0.26340469339235029</v>
      </c>
      <c r="G99" s="826">
        <f>'Recycling - Case 2'!BG109</f>
        <v>5.7550887042018932E-2</v>
      </c>
      <c r="H99" s="826">
        <f>'Recycling - Case 2'!BH109</f>
        <v>0</v>
      </c>
      <c r="I99" s="826">
        <f>'Recycling - Case 2'!BI109</f>
        <v>0</v>
      </c>
      <c r="J99" s="826">
        <f>'Recycling - Case 2'!BJ109</f>
        <v>0</v>
      </c>
      <c r="K99" s="826">
        <f>'Recycling - Case 2'!BK109</f>
        <v>0.47135632322654053</v>
      </c>
      <c r="L99" s="827">
        <f t="shared" si="89"/>
        <v>1</v>
      </c>
      <c r="M99" s="4"/>
      <c r="N99" s="838">
        <f t="shared" si="56"/>
        <v>3231.7721006039169</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0.10685450794614117</v>
      </c>
      <c r="Q99" s="832">
        <f t="shared" si="57"/>
        <v>169.07859561923743</v>
      </c>
      <c r="R99" s="832">
        <f t="shared" si="58"/>
        <v>169.07859561923743</v>
      </c>
      <c r="S99" s="835">
        <f t="shared" si="59"/>
        <v>0</v>
      </c>
      <c r="T99" s="832">
        <f t="shared" si="60"/>
        <v>10148.922387066497</v>
      </c>
      <c r="U99" s="832">
        <f t="shared" si="61"/>
        <v>511.67753284895758</v>
      </c>
      <c r="V99" s="839">
        <f t="shared" si="62"/>
        <v>341.11835523263841</v>
      </c>
      <c r="W99" s="4"/>
      <c r="X99" s="852">
        <f>'Recycling - Case 2'!AM149</f>
        <v>0</v>
      </c>
      <c r="Y99" s="853">
        <f>Parameters!S234</f>
        <v>0.71500000000000008</v>
      </c>
      <c r="Z99" s="853">
        <f t="shared" si="63"/>
        <v>0.4</v>
      </c>
      <c r="AA99" s="854">
        <f t="shared" si="64"/>
        <v>0</v>
      </c>
      <c r="AB99" s="854">
        <f t="shared" si="65"/>
        <v>0</v>
      </c>
      <c r="AC99" s="855">
        <f t="shared" si="66"/>
        <v>0</v>
      </c>
      <c r="AD99" s="854">
        <f t="shared" si="67"/>
        <v>6286.5747533378617</v>
      </c>
      <c r="AE99" s="854">
        <f t="shared" si="68"/>
        <v>322.31958005346502</v>
      </c>
      <c r="AF99" s="856">
        <f t="shared" si="69"/>
        <v>214.87972003564334</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6286.5747533378617</v>
      </c>
      <c r="AO99" s="854">
        <f t="shared" si="75"/>
        <v>322.31958005346502</v>
      </c>
      <c r="AP99" s="856">
        <f t="shared" si="76"/>
        <v>214.87972003564334</v>
      </c>
      <c r="AQ99" s="4"/>
      <c r="AR99" s="1042">
        <f>'Recycling - Case 2'!G109</f>
        <v>722.20668086181445</v>
      </c>
      <c r="AS99" s="1043">
        <v>1</v>
      </c>
      <c r="AT99" s="1043">
        <f t="shared" si="77"/>
        <v>0.05</v>
      </c>
      <c r="AU99" s="1044">
        <f t="shared" si="78"/>
        <v>18.055167021545362</v>
      </c>
      <c r="AV99" s="1044">
        <f t="shared" si="79"/>
        <v>18.055167021545362</v>
      </c>
      <c r="AW99" s="1045">
        <f t="shared" si="80"/>
        <v>0</v>
      </c>
      <c r="AX99" s="1044">
        <f t="shared" si="44"/>
        <v>208.82283440083646</v>
      </c>
      <c r="AY99" s="1044">
        <f t="shared" si="49"/>
        <v>11.796413743249214</v>
      </c>
      <c r="AZ99" s="1046">
        <f t="shared" si="47"/>
        <v>7.8642758288328096</v>
      </c>
      <c r="BA99" s="4"/>
      <c r="BB99" s="1055">
        <f t="shared" si="81"/>
        <v>341.11835523263841</v>
      </c>
      <c r="BC99" s="1056">
        <f t="shared" si="82"/>
        <v>214.87972003564334</v>
      </c>
      <c r="BD99" s="1082">
        <f t="shared" si="90"/>
        <v>7.8642758288328096</v>
      </c>
      <c r="BE99" s="1056">
        <f t="shared" si="54"/>
        <v>563.86235109711458</v>
      </c>
      <c r="BF99" s="167">
        <v>0</v>
      </c>
      <c r="BG99" s="1075">
        <f t="shared" si="83"/>
        <v>563.86235109711458</v>
      </c>
      <c r="BI99" s="1055">
        <f t="shared" si="84"/>
        <v>341.11835523263841</v>
      </c>
      <c r="BJ99" s="1056">
        <f t="shared" si="85"/>
        <v>214.87972003564334</v>
      </c>
      <c r="BK99" s="1082">
        <f t="shared" si="86"/>
        <v>7.8642758288328096</v>
      </c>
      <c r="BL99" s="1056">
        <f t="shared" si="55"/>
        <v>563.86235109711458</v>
      </c>
      <c r="BM99" s="167">
        <v>0</v>
      </c>
      <c r="BN99" s="1075">
        <f t="shared" si="87"/>
        <v>563.86235109711458</v>
      </c>
    </row>
    <row r="100" spans="1:66">
      <c r="A100" s="927">
        <f>'Input data'!A130</f>
        <v>2030</v>
      </c>
      <c r="B100" s="824">
        <f>'Input data'!B130</f>
        <v>65.956000000000003</v>
      </c>
      <c r="C100" s="824">
        <f>'Recycling - Case 2'!AK110/B100</f>
        <v>298.77645245461935</v>
      </c>
      <c r="D100" s="825">
        <f>'Recycling - Case 2'!AM110</f>
        <v>0.14703319749758129</v>
      </c>
      <c r="E100" s="826">
        <f>'Recycling - Case 2'!BE110</f>
        <v>0.2114166741059334</v>
      </c>
      <c r="F100" s="826">
        <f>'Recycling - Case 2'!BF110</f>
        <v>0.268133538717512</v>
      </c>
      <c r="G100" s="826">
        <f>'Recycling - Case 2'!BG110</f>
        <v>5.5420028163101563E-2</v>
      </c>
      <c r="H100" s="826">
        <f>'Recycling - Case 2'!BH110</f>
        <v>0</v>
      </c>
      <c r="I100" s="826">
        <f>'Recycling - Case 2'!BI110</f>
        <v>0</v>
      </c>
      <c r="J100" s="826">
        <f>'Recycling - Case 2'!BJ110</f>
        <v>0</v>
      </c>
      <c r="K100" s="826">
        <f>'Recycling - Case 2'!BK110</f>
        <v>0.46502975901345311</v>
      </c>
      <c r="L100" s="827">
        <f t="shared" si="89"/>
        <v>1</v>
      </c>
      <c r="M100" s="4"/>
      <c r="N100" s="838">
        <f t="shared" si="56"/>
        <v>2897.4508488173046</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0.10750722012463304</v>
      </c>
      <c r="Q100" s="832">
        <f t="shared" si="57"/>
        <v>155.74844310205341</v>
      </c>
      <c r="R100" s="832">
        <f t="shared" si="58"/>
        <v>155.74844310205341</v>
      </c>
      <c r="S100" s="835">
        <f t="shared" si="59"/>
        <v>0</v>
      </c>
      <c r="T100" s="832">
        <f t="shared" si="60"/>
        <v>9809.7020446537299</v>
      </c>
      <c r="U100" s="832">
        <f t="shared" si="61"/>
        <v>494.96878551482035</v>
      </c>
      <c r="V100" s="839">
        <f t="shared" si="62"/>
        <v>329.97919034321359</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5979.974884698292</v>
      </c>
      <c r="AE100" s="854">
        <f t="shared" si="68"/>
        <v>306.59986863956937</v>
      </c>
      <c r="AF100" s="856">
        <f t="shared" si="69"/>
        <v>204.39991242637959</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5979.974884698292</v>
      </c>
      <c r="AO100" s="854">
        <f t="shared" si="75"/>
        <v>306.59986863956937</v>
      </c>
      <c r="AP100" s="856">
        <f t="shared" si="76"/>
        <v>204.39991242637959</v>
      </c>
      <c r="AQ100" s="4"/>
      <c r="AR100" s="1042">
        <f>'Recycling - Case 2'!G110</f>
        <v>741.37470019741022</v>
      </c>
      <c r="AS100" s="1043">
        <v>1</v>
      </c>
      <c r="AT100" s="1043">
        <f t="shared" si="77"/>
        <v>0.05</v>
      </c>
      <c r="AU100" s="1044">
        <f t="shared" si="78"/>
        <v>18.534367504935258</v>
      </c>
      <c r="AV100" s="1044">
        <f t="shared" si="79"/>
        <v>18.534367504935258</v>
      </c>
      <c r="AW100" s="1045">
        <f t="shared" si="80"/>
        <v>0</v>
      </c>
      <c r="AX100" s="1044">
        <f t="shared" si="44"/>
        <v>215.1963067461798</v>
      </c>
      <c r="AY100" s="1044">
        <f t="shared" si="49"/>
        <v>12.160895159591902</v>
      </c>
      <c r="AZ100" s="1046">
        <f t="shared" si="47"/>
        <v>8.1072634397279355</v>
      </c>
      <c r="BA100" s="4"/>
      <c r="BB100" s="1055">
        <f t="shared" si="81"/>
        <v>329.97919034321359</v>
      </c>
      <c r="BC100" s="1056">
        <f t="shared" si="82"/>
        <v>204.39991242637959</v>
      </c>
      <c r="BD100" s="1082">
        <f t="shared" si="90"/>
        <v>8.1072634397279355</v>
      </c>
      <c r="BE100" s="1056">
        <f t="shared" si="54"/>
        <v>542.48636620932109</v>
      </c>
      <c r="BF100" s="167">
        <v>0</v>
      </c>
      <c r="BG100" s="1075">
        <f t="shared" si="83"/>
        <v>542.48636620932109</v>
      </c>
      <c r="BI100" s="1055">
        <f t="shared" si="84"/>
        <v>329.97919034321359</v>
      </c>
      <c r="BJ100" s="1056">
        <f t="shared" si="85"/>
        <v>204.39991242637959</v>
      </c>
      <c r="BK100" s="1082">
        <f t="shared" si="86"/>
        <v>8.1072634397279355</v>
      </c>
      <c r="BL100" s="1056">
        <f t="shared" si="55"/>
        <v>542.48636620932109</v>
      </c>
      <c r="BM100" s="167">
        <v>0</v>
      </c>
      <c r="BN100" s="1075">
        <f t="shared" si="87"/>
        <v>542.48636620932109</v>
      </c>
    </row>
    <row r="101" spans="1:66">
      <c r="A101" s="927">
        <f>'Input data'!A131</f>
        <v>2031</v>
      </c>
      <c r="B101" s="824">
        <f>'Input data'!B131</f>
        <v>66.519000000000005</v>
      </c>
      <c r="C101" s="824">
        <f>'Recycling - Case 2'!AK111/B101</f>
        <v>290.33097527874179</v>
      </c>
      <c r="D101" s="825">
        <f>'Recycling - Case 2'!AM111</f>
        <v>0.13271850496636359</v>
      </c>
      <c r="E101" s="826">
        <f>'Recycling - Case 2'!BE111</f>
        <v>0.21211276344935903</v>
      </c>
      <c r="F101" s="826">
        <f>'Recycling - Case 2'!BF111</f>
        <v>0.26901636832262993</v>
      </c>
      <c r="G101" s="826">
        <f>'Recycling - Case 2'!BG111</f>
        <v>5.5251897183415201E-2</v>
      </c>
      <c r="H101" s="826">
        <f>'Recycling - Case 2'!BH111</f>
        <v>0</v>
      </c>
      <c r="I101" s="826">
        <f>'Recycling - Case 2'!BI111</f>
        <v>0</v>
      </c>
      <c r="J101" s="826">
        <f>'Recycling - Case 2'!BJ111</f>
        <v>0</v>
      </c>
      <c r="K101" s="826">
        <f>'Recycling - Case 2'!BK111</f>
        <v>0.46361897104459582</v>
      </c>
      <c r="L101" s="827">
        <f t="shared" si="89"/>
        <v>1</v>
      </c>
      <c r="M101" s="4"/>
      <c r="N101" s="838">
        <f t="shared" si="56"/>
        <v>2563.1295970306924</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0.10772094705529593</v>
      </c>
      <c r="Q101" s="832">
        <f t="shared" si="57"/>
        <v>138.05137380880259</v>
      </c>
      <c r="R101" s="832">
        <f t="shared" si="58"/>
        <v>138.05137380880259</v>
      </c>
      <c r="S101" s="835">
        <f t="shared" si="59"/>
        <v>0</v>
      </c>
      <c r="T101" s="832">
        <f t="shared" si="60"/>
        <v>9469.3286042682485</v>
      </c>
      <c r="U101" s="832">
        <f t="shared" si="61"/>
        <v>478.42481419428481</v>
      </c>
      <c r="V101" s="839">
        <f t="shared" si="62"/>
        <v>318.9498761295232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5688.3280681002798</v>
      </c>
      <c r="AE101" s="854">
        <f t="shared" si="68"/>
        <v>291.64681659801204</v>
      </c>
      <c r="AF101" s="856">
        <f t="shared" si="69"/>
        <v>194.43121106534136</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5688.3280681002798</v>
      </c>
      <c r="AO101" s="854">
        <f t="shared" si="75"/>
        <v>291.64681659801204</v>
      </c>
      <c r="AP101" s="856">
        <f t="shared" si="76"/>
        <v>194.43121106534136</v>
      </c>
      <c r="AQ101" s="4"/>
      <c r="AR101" s="1042">
        <f>'Recycling - Case 2'!G111</f>
        <v>747.70306996227077</v>
      </c>
      <c r="AS101" s="1043">
        <v>1</v>
      </c>
      <c r="AT101" s="1043">
        <f t="shared" si="77"/>
        <v>0.05</v>
      </c>
      <c r="AU101" s="1044">
        <f t="shared" si="78"/>
        <v>18.692576749056769</v>
      </c>
      <c r="AV101" s="1044">
        <f t="shared" si="79"/>
        <v>18.692576749056769</v>
      </c>
      <c r="AW101" s="1045">
        <f t="shared" si="80"/>
        <v>0</v>
      </c>
      <c r="AX101" s="1044">
        <f t="shared" si="44"/>
        <v>221.3568262009257</v>
      </c>
      <c r="AY101" s="1044">
        <f t="shared" si="49"/>
        <v>12.532057294310864</v>
      </c>
      <c r="AZ101" s="1046">
        <f t="shared" si="47"/>
        <v>8.3547048628739091</v>
      </c>
      <c r="BA101" s="4"/>
      <c r="BB101" s="1055">
        <f t="shared" si="81"/>
        <v>318.9498761295232</v>
      </c>
      <c r="BC101" s="1056">
        <f t="shared" si="82"/>
        <v>194.43121106534136</v>
      </c>
      <c r="BD101" s="1082">
        <f t="shared" si="90"/>
        <v>8.3547048628739091</v>
      </c>
      <c r="BE101" s="1056">
        <f t="shared" si="54"/>
        <v>521.73579205773842</v>
      </c>
      <c r="BF101" s="167">
        <v>0</v>
      </c>
      <c r="BG101" s="1075">
        <f t="shared" si="83"/>
        <v>521.73579205773842</v>
      </c>
      <c r="BI101" s="1055">
        <f t="shared" si="84"/>
        <v>318.9498761295232</v>
      </c>
      <c r="BJ101" s="1056">
        <f t="shared" si="85"/>
        <v>194.43121106534136</v>
      </c>
      <c r="BK101" s="1082">
        <f t="shared" si="86"/>
        <v>8.3547048628739091</v>
      </c>
      <c r="BL101" s="1056">
        <f t="shared" si="55"/>
        <v>521.73579205773842</v>
      </c>
      <c r="BM101" s="167">
        <v>0</v>
      </c>
      <c r="BN101" s="1075">
        <f t="shared" si="87"/>
        <v>521.73579205773842</v>
      </c>
    </row>
    <row r="102" spans="1:66">
      <c r="A102" s="927">
        <f>'Input data'!A132</f>
        <v>2032</v>
      </c>
      <c r="B102" s="824">
        <f>'Input data'!B132</f>
        <v>67.087000000000003</v>
      </c>
      <c r="C102" s="824">
        <f>'Recycling - Case 2'!AK112/B102</f>
        <v>282.02939340599443</v>
      </c>
      <c r="D102" s="825">
        <f>'Recycling - Case 2'!AM112</f>
        <v>0.11779855967945818</v>
      </c>
      <c r="E102" s="826">
        <f>'Recycling - Case 2'!BE112</f>
        <v>0.21279903570632283</v>
      </c>
      <c r="F102" s="826">
        <f>'Recycling - Case 2'!BF112</f>
        <v>0.26988674720623285</v>
      </c>
      <c r="G102" s="826">
        <f>'Recycling - Case 2'!BG112</f>
        <v>5.5086137388376498E-2</v>
      </c>
      <c r="H102" s="826">
        <f>'Recycling - Case 2'!BH112</f>
        <v>0</v>
      </c>
      <c r="I102" s="826">
        <f>'Recycling - Case 2'!BI112</f>
        <v>0</v>
      </c>
      <c r="J102" s="826">
        <f>'Recycling - Case 2'!BJ112</f>
        <v>0</v>
      </c>
      <c r="K102" s="826">
        <f>'Recycling - Case 2'!BK112</f>
        <v>0.46222807969906798</v>
      </c>
      <c r="L102" s="827">
        <f t="shared" si="89"/>
        <v>1.0000000000000002</v>
      </c>
      <c r="M102" s="4"/>
      <c r="N102" s="838">
        <f t="shared" si="56"/>
        <v>2228.8083452440806</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0.10793165975254559</v>
      </c>
      <c r="Q102" s="832">
        <f t="shared" si="57"/>
        <v>120.27949198625913</v>
      </c>
      <c r="R102" s="832">
        <f t="shared" si="58"/>
        <v>120.27949198625913</v>
      </c>
      <c r="S102" s="835">
        <f t="shared" si="59"/>
        <v>0</v>
      </c>
      <c r="T102" s="832">
        <f t="shared" si="60"/>
        <v>9127.7834906324952</v>
      </c>
      <c r="U102" s="832">
        <f t="shared" si="61"/>
        <v>461.824605622013</v>
      </c>
      <c r="V102" s="839">
        <f t="shared" si="62"/>
        <v>307.88307041467533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5410.9050345902879</v>
      </c>
      <c r="AE102" s="854">
        <f t="shared" si="68"/>
        <v>277.42303350999231</v>
      </c>
      <c r="AF102" s="856">
        <f t="shared" si="69"/>
        <v>184.94868900666154</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5410.9050345902879</v>
      </c>
      <c r="AO102" s="854">
        <f t="shared" si="75"/>
        <v>277.42303350999231</v>
      </c>
      <c r="AP102" s="856">
        <f t="shared" si="76"/>
        <v>184.94868900666154</v>
      </c>
      <c r="AQ102" s="4"/>
      <c r="AR102" s="1042">
        <f>'Recycling - Case 2'!G112</f>
        <v>754.08764194529181</v>
      </c>
      <c r="AS102" s="1043">
        <v>1</v>
      </c>
      <c r="AT102" s="1043">
        <f t="shared" si="77"/>
        <v>0.05</v>
      </c>
      <c r="AU102" s="1044">
        <f t="shared" si="78"/>
        <v>18.852191048632296</v>
      </c>
      <c r="AV102" s="1044">
        <f t="shared" si="79"/>
        <v>18.852191048632296</v>
      </c>
      <c r="AW102" s="1045">
        <f t="shared" si="80"/>
        <v>0</v>
      </c>
      <c r="AX102" s="1044">
        <f t="shared" si="44"/>
        <v>227.31819923143669</v>
      </c>
      <c r="AY102" s="1044">
        <f t="shared" si="49"/>
        <v>12.890818018121301</v>
      </c>
      <c r="AZ102" s="1046">
        <f t="shared" si="47"/>
        <v>8.5938786787475347</v>
      </c>
      <c r="BA102" s="4"/>
      <c r="BB102" s="1055">
        <f t="shared" si="81"/>
        <v>307.88307041467533</v>
      </c>
      <c r="BC102" s="1056">
        <f t="shared" si="82"/>
        <v>184.94868900666154</v>
      </c>
      <c r="BD102" s="1082">
        <f t="shared" si="90"/>
        <v>8.5938786787475347</v>
      </c>
      <c r="BE102" s="1056">
        <f t="shared" si="54"/>
        <v>501.42563810008443</v>
      </c>
      <c r="BF102" s="167">
        <v>0</v>
      </c>
      <c r="BG102" s="1075">
        <f t="shared" si="83"/>
        <v>501.42563810008443</v>
      </c>
      <c r="BI102" s="1055">
        <f t="shared" si="84"/>
        <v>307.88307041467533</v>
      </c>
      <c r="BJ102" s="1056">
        <f t="shared" si="85"/>
        <v>184.94868900666154</v>
      </c>
      <c r="BK102" s="1082">
        <f t="shared" si="86"/>
        <v>8.5938786787475347</v>
      </c>
      <c r="BL102" s="1056">
        <f t="shared" si="55"/>
        <v>501.42563810008443</v>
      </c>
      <c r="BM102" s="167">
        <v>0</v>
      </c>
      <c r="BN102" s="1075">
        <f t="shared" si="87"/>
        <v>501.42563810008443</v>
      </c>
    </row>
    <row r="103" spans="1:66">
      <c r="A103" s="927">
        <f>'Input data'!A133</f>
        <v>2033</v>
      </c>
      <c r="B103" s="824">
        <f>'Input data'!B133</f>
        <v>67.659000000000006</v>
      </c>
      <c r="C103" s="824">
        <f>'Recycling - Case 2'!AK113/B103</f>
        <v>280.78573086874633</v>
      </c>
      <c r="D103" s="825">
        <f>'Recycling - Case 2'!AM113</f>
        <v>0.11732001687532498</v>
      </c>
      <c r="E103" s="826">
        <f>'Recycling - Case 2'!BE113</f>
        <v>0.21347445167958309</v>
      </c>
      <c r="F103" s="826">
        <f>'Recycling - Case 2'!BF113</f>
        <v>0.27074335738507738</v>
      </c>
      <c r="G103" s="826">
        <f>'Recycling - Case 2'!BG113</f>
        <v>5.4922999782043951E-2</v>
      </c>
      <c r="H103" s="826">
        <f>'Recycling - Case 2'!BH113</f>
        <v>0</v>
      </c>
      <c r="I103" s="826">
        <f>'Recycling - Case 2'!BI113</f>
        <v>0</v>
      </c>
      <c r="J103" s="826">
        <f>'Recycling - Case 2'!BJ113</f>
        <v>0</v>
      </c>
      <c r="K103" s="826">
        <f>'Recycling - Case 2'!BK113</f>
        <v>0.46085919115329549</v>
      </c>
      <c r="L103" s="827">
        <f t="shared" si="89"/>
        <v>1</v>
      </c>
      <c r="M103" s="4"/>
      <c r="N103" s="838">
        <f t="shared" si="56"/>
        <v>2228.8083452440806</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0.10813903914177052</v>
      </c>
      <c r="Q103" s="832">
        <f t="shared" si="57"/>
        <v>120.51059644292721</v>
      </c>
      <c r="R103" s="832">
        <f t="shared" si="58"/>
        <v>120.51059644292721</v>
      </c>
      <c r="S103" s="835">
        <f t="shared" si="59"/>
        <v>0</v>
      </c>
      <c r="T103" s="832">
        <f t="shared" si="60"/>
        <v>8803.1268332043946</v>
      </c>
      <c r="U103" s="832">
        <f t="shared" si="61"/>
        <v>445.16725387102827</v>
      </c>
      <c r="V103" s="839">
        <f t="shared" si="62"/>
        <v>296.7781692473522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5147.0120820813354</v>
      </c>
      <c r="AE103" s="854">
        <f t="shared" si="68"/>
        <v>263.89295250895225</v>
      </c>
      <c r="AF103" s="856">
        <f t="shared" si="69"/>
        <v>175.92863500596818</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5147.0120820813354</v>
      </c>
      <c r="AO103" s="854">
        <f t="shared" si="75"/>
        <v>263.89295250895225</v>
      </c>
      <c r="AP103" s="856">
        <f t="shared" si="76"/>
        <v>175.92863500596818</v>
      </c>
      <c r="AQ103" s="4"/>
      <c r="AR103" s="1042">
        <f>'Recycling - Case 2'!G113</f>
        <v>760.51717570284097</v>
      </c>
      <c r="AS103" s="1043">
        <v>1</v>
      </c>
      <c r="AT103" s="1043">
        <f t="shared" si="77"/>
        <v>0.05</v>
      </c>
      <c r="AU103" s="1044">
        <f t="shared" si="78"/>
        <v>19.012929392571024</v>
      </c>
      <c r="AV103" s="1044">
        <f t="shared" si="79"/>
        <v>19.012929392571024</v>
      </c>
      <c r="AW103" s="1045">
        <f t="shared" si="80"/>
        <v>0</v>
      </c>
      <c r="AX103" s="1044">
        <f t="shared" si="44"/>
        <v>233.0931472669763</v>
      </c>
      <c r="AY103" s="1044">
        <f t="shared" si="49"/>
        <v>13.237981357031391</v>
      </c>
      <c r="AZ103" s="1046">
        <f t="shared" si="47"/>
        <v>8.8253209046875938</v>
      </c>
      <c r="BA103" s="4"/>
      <c r="BB103" s="1055">
        <f t="shared" si="81"/>
        <v>296.7781692473522</v>
      </c>
      <c r="BC103" s="1056">
        <f t="shared" si="82"/>
        <v>175.92863500596818</v>
      </c>
      <c r="BD103" s="1082">
        <f t="shared" si="90"/>
        <v>8.8253209046875938</v>
      </c>
      <c r="BE103" s="1056">
        <f t="shared" si="54"/>
        <v>481.53212515800794</v>
      </c>
      <c r="BF103" s="167">
        <v>0</v>
      </c>
      <c r="BG103" s="1075">
        <f t="shared" si="83"/>
        <v>481.53212515800794</v>
      </c>
      <c r="BI103" s="1055">
        <f t="shared" si="84"/>
        <v>296.7781692473522</v>
      </c>
      <c r="BJ103" s="1056">
        <f t="shared" si="85"/>
        <v>175.92863500596818</v>
      </c>
      <c r="BK103" s="1082">
        <f t="shared" si="86"/>
        <v>8.8253209046875938</v>
      </c>
      <c r="BL103" s="1056">
        <f t="shared" si="55"/>
        <v>481.53212515800794</v>
      </c>
      <c r="BM103" s="167">
        <v>0</v>
      </c>
      <c r="BN103" s="1075">
        <f t="shared" si="87"/>
        <v>481.53212515800794</v>
      </c>
    </row>
    <row r="104" spans="1:66">
      <c r="A104" s="927">
        <f>'Input data'!A134</f>
        <v>2034</v>
      </c>
      <c r="B104" s="824">
        <f>'Input data'!B134</f>
        <v>68.236999999999995</v>
      </c>
      <c r="C104" s="824">
        <f>'Recycling - Case 2'!AK114/B104</f>
        <v>279.55108838648846</v>
      </c>
      <c r="D104" s="825">
        <f>'Recycling - Case 2'!AM114</f>
        <v>0.11684001731678251</v>
      </c>
      <c r="E104" s="826">
        <f>'Recycling - Case 2'!BE114</f>
        <v>0.21414150052464848</v>
      </c>
      <c r="F104" s="826">
        <f>'Recycling - Case 2'!BF114</f>
        <v>0.27158935578175625</v>
      </c>
      <c r="G104" s="826">
        <f>'Recycling - Case 2'!BG114</f>
        <v>5.4761883142522443E-2</v>
      </c>
      <c r="H104" s="826">
        <f>'Recycling - Case 2'!BH114</f>
        <v>0</v>
      </c>
      <c r="I104" s="826">
        <f>'Recycling - Case 2'!BI114</f>
        <v>0</v>
      </c>
      <c r="J104" s="826">
        <f>'Recycling - Case 2'!BJ114</f>
        <v>0</v>
      </c>
      <c r="K104" s="826">
        <f>'Recycling - Case 2'!BK114</f>
        <v>0.45950726055107272</v>
      </c>
      <c r="L104" s="827">
        <f t="shared" si="89"/>
        <v>0.99999999999999989</v>
      </c>
      <c r="M104" s="4"/>
      <c r="N104" s="838">
        <f t="shared" si="56"/>
        <v>2228.8083452440806</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0.10834384949205751</v>
      </c>
      <c r="Q104" s="832">
        <f t="shared" si="57"/>
        <v>120.73883795188321</v>
      </c>
      <c r="R104" s="832">
        <f t="shared" si="58"/>
        <v>120.73883795188321</v>
      </c>
      <c r="S104" s="835">
        <f t="shared" si="59"/>
        <v>0</v>
      </c>
      <c r="T104" s="832">
        <f t="shared" si="60"/>
        <v>8494.5321093076927</v>
      </c>
      <c r="U104" s="832">
        <f t="shared" si="61"/>
        <v>429.33356184858525</v>
      </c>
      <c r="V104" s="839">
        <f t="shared" si="62"/>
        <v>286.2223745657235</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4895.9893407364507</v>
      </c>
      <c r="AE104" s="854">
        <f t="shared" si="68"/>
        <v>251.02274134488491</v>
      </c>
      <c r="AF104" s="856">
        <f t="shared" si="69"/>
        <v>167.34849422992326</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4895.9893407364507</v>
      </c>
      <c r="AO104" s="854">
        <f t="shared" si="75"/>
        <v>251.02274134488491</v>
      </c>
      <c r="AP104" s="856">
        <f t="shared" si="76"/>
        <v>167.34849422992326</v>
      </c>
      <c r="AQ104" s="4"/>
      <c r="AR104" s="1042">
        <f>'Recycling - Case 2'!G114</f>
        <v>767.01415212218251</v>
      </c>
      <c r="AS104" s="1043">
        <v>1</v>
      </c>
      <c r="AT104" s="1043">
        <f t="shared" si="77"/>
        <v>0.05</v>
      </c>
      <c r="AU104" s="1044">
        <f t="shared" si="78"/>
        <v>19.175353803054563</v>
      </c>
      <c r="AV104" s="1044">
        <f t="shared" si="79"/>
        <v>19.175353803054563</v>
      </c>
      <c r="AW104" s="1045">
        <f t="shared" si="80"/>
        <v>0</v>
      </c>
      <c r="AX104" s="1044">
        <f t="shared" si="44"/>
        <v>238.6942129206231</v>
      </c>
      <c r="AY104" s="1044">
        <f t="shared" si="49"/>
        <v>13.574288149407765</v>
      </c>
      <c r="AZ104" s="1046">
        <f t="shared" si="47"/>
        <v>9.0495254329385109</v>
      </c>
      <c r="BA104" s="4"/>
      <c r="BB104" s="1055">
        <f t="shared" si="81"/>
        <v>286.2223745657235</v>
      </c>
      <c r="BC104" s="1056">
        <f t="shared" si="82"/>
        <v>167.34849422992326</v>
      </c>
      <c r="BD104" s="1082">
        <f t="shared" si="90"/>
        <v>9.0495254329385109</v>
      </c>
      <c r="BE104" s="1056">
        <f t="shared" si="54"/>
        <v>462.62039422858533</v>
      </c>
      <c r="BF104" s="167">
        <v>0</v>
      </c>
      <c r="BG104" s="1075">
        <f t="shared" si="83"/>
        <v>462.62039422858533</v>
      </c>
      <c r="BI104" s="1055">
        <f t="shared" si="84"/>
        <v>286.2223745657235</v>
      </c>
      <c r="BJ104" s="1056">
        <f t="shared" si="85"/>
        <v>167.34849422992326</v>
      </c>
      <c r="BK104" s="1082">
        <f t="shared" si="86"/>
        <v>9.0495254329385109</v>
      </c>
      <c r="BL104" s="1056">
        <f t="shared" si="55"/>
        <v>462.62039422858533</v>
      </c>
      <c r="BM104" s="167">
        <v>0</v>
      </c>
      <c r="BN104" s="1075">
        <f t="shared" si="87"/>
        <v>462.62039422858533</v>
      </c>
    </row>
    <row r="105" spans="1:66">
      <c r="A105" s="927">
        <f>'Input data'!A135</f>
        <v>2035</v>
      </c>
      <c r="B105" s="824">
        <f>'Input data'!B135</f>
        <v>68.819000000000003</v>
      </c>
      <c r="C105" s="824">
        <f>'Recycling - Case 2'!AK115/B105</f>
        <v>278.32971891322461</v>
      </c>
      <c r="D105" s="825">
        <f>'Recycling - Case 2'!AM115</f>
        <v>0.11636028774565652</v>
      </c>
      <c r="E105" s="826">
        <f>'Recycling - Case 2'!BE115</f>
        <v>0.21479800056253123</v>
      </c>
      <c r="F105" s="826">
        <f>'Recycling - Case 2'!BF115</f>
        <v>0.27242197543708896</v>
      </c>
      <c r="G105" s="826">
        <f>'Recycling - Case 2'!BG115</f>
        <v>5.4603314424906221E-2</v>
      </c>
      <c r="H105" s="826">
        <f>'Recycling - Case 2'!BH115</f>
        <v>0</v>
      </c>
      <c r="I105" s="826">
        <f>'Recycling - Case 2'!BI115</f>
        <v>0</v>
      </c>
      <c r="J105" s="826">
        <f>'Recycling - Case 2'!BJ115</f>
        <v>0</v>
      </c>
      <c r="K105" s="826">
        <f>'Recycling - Case 2'!BK115</f>
        <v>0.45817670957547341</v>
      </c>
      <c r="L105" s="827">
        <f t="shared" si="89"/>
        <v>0.99999999999999978</v>
      </c>
      <c r="M105" s="4"/>
      <c r="N105" s="838">
        <f t="shared" si="56"/>
        <v>2228.8083452440806</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0.10854542094175997</v>
      </c>
      <c r="Q105" s="832">
        <f t="shared" si="57"/>
        <v>120.9634700165131</v>
      </c>
      <c r="R105" s="832">
        <f t="shared" si="58"/>
        <v>120.9634700165131</v>
      </c>
      <c r="S105" s="835">
        <f t="shared" si="59"/>
        <v>0</v>
      </c>
      <c r="T105" s="832">
        <f t="shared" si="60"/>
        <v>8201.2123597561058</v>
      </c>
      <c r="U105" s="832">
        <f t="shared" si="61"/>
        <v>414.28321956809987</v>
      </c>
      <c r="V105" s="839">
        <f t="shared" si="62"/>
        <v>276.18881304539991</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4657.209122950364</v>
      </c>
      <c r="AE105" s="854">
        <f t="shared" si="68"/>
        <v>238.78021778608647</v>
      </c>
      <c r="AF105" s="856">
        <f t="shared" si="69"/>
        <v>159.18681185739098</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4657.209122950364</v>
      </c>
      <c r="AO105" s="854">
        <f t="shared" si="75"/>
        <v>238.78021778608647</v>
      </c>
      <c r="AP105" s="856">
        <f t="shared" si="76"/>
        <v>159.18681185739098</v>
      </c>
      <c r="AQ105" s="4"/>
      <c r="AR105" s="1042">
        <f>'Recycling - Case 2'!G115</f>
        <v>773.55609031605263</v>
      </c>
      <c r="AS105" s="1043">
        <v>1</v>
      </c>
      <c r="AT105" s="1043">
        <f t="shared" si="77"/>
        <v>0.05</v>
      </c>
      <c r="AU105" s="1044">
        <f t="shared" si="78"/>
        <v>19.338902257901317</v>
      </c>
      <c r="AV105" s="1044">
        <f t="shared" si="79"/>
        <v>19.338902257901317</v>
      </c>
      <c r="AW105" s="1045">
        <f t="shared" si="80"/>
        <v>0</v>
      </c>
      <c r="AX105" s="1044">
        <f t="shared" si="44"/>
        <v>244.13264635835128</v>
      </c>
      <c r="AY105" s="1044">
        <f t="shared" si="49"/>
        <v>13.900468820173131</v>
      </c>
      <c r="AZ105" s="1046">
        <f t="shared" si="47"/>
        <v>9.2669792134487547</v>
      </c>
      <c r="BA105" s="4"/>
      <c r="BB105" s="1055">
        <f t="shared" si="81"/>
        <v>276.18881304539991</v>
      </c>
      <c r="BC105" s="1056">
        <f t="shared" si="82"/>
        <v>159.18681185739098</v>
      </c>
      <c r="BD105" s="1082">
        <f t="shared" si="90"/>
        <v>9.2669792134487547</v>
      </c>
      <c r="BE105" s="1056">
        <f t="shared" si="54"/>
        <v>444.64260411623962</v>
      </c>
      <c r="BF105" s="167">
        <v>0</v>
      </c>
      <c r="BG105" s="1075">
        <f t="shared" si="83"/>
        <v>444.64260411623962</v>
      </c>
      <c r="BI105" s="1055">
        <f t="shared" si="84"/>
        <v>276.18881304539991</v>
      </c>
      <c r="BJ105" s="1056">
        <f t="shared" si="85"/>
        <v>159.18681185739098</v>
      </c>
      <c r="BK105" s="1082">
        <f t="shared" si="86"/>
        <v>9.2669792134487547</v>
      </c>
      <c r="BL105" s="1056">
        <f t="shared" si="55"/>
        <v>444.64260411623962</v>
      </c>
      <c r="BM105" s="167">
        <v>0</v>
      </c>
      <c r="BN105" s="1075">
        <f t="shared" si="87"/>
        <v>444.64260411623962</v>
      </c>
    </row>
    <row r="106" spans="1:66">
      <c r="A106" s="927">
        <f>'Input data'!A136</f>
        <v>2036</v>
      </c>
      <c r="B106" s="824">
        <f>'Input data'!B136</f>
        <v>69.322999999999993</v>
      </c>
      <c r="C106" s="824">
        <f>'Recycling - Case 2'!AK116/B106</f>
        <v>277.28927932133206</v>
      </c>
      <c r="D106" s="825">
        <f>'Recycling - Case 2'!AM116</f>
        <v>0.11594774249602449</v>
      </c>
      <c r="E106" s="826">
        <f>'Recycling - Case 2'!BE116</f>
        <v>0.21535461553928698</v>
      </c>
      <c r="F106" s="826">
        <f>'Recycling - Case 2'!BF116</f>
        <v>0.27312791381234641</v>
      </c>
      <c r="G106" s="826">
        <f>'Recycling - Case 2'!BG116</f>
        <v>5.4468871594781171E-2</v>
      </c>
      <c r="H106" s="826">
        <f>'Recycling - Case 2'!BH116</f>
        <v>0</v>
      </c>
      <c r="I106" s="826">
        <f>'Recycling - Case 2'!BI116</f>
        <v>0</v>
      </c>
      <c r="J106" s="826">
        <f>'Recycling - Case 2'!BJ116</f>
        <v>0</v>
      </c>
      <c r="K106" s="826">
        <f>'Recycling - Case 2'!BK116</f>
        <v>0.45704859905358536</v>
      </c>
      <c r="L106" s="827">
        <f t="shared" si="89"/>
        <v>1</v>
      </c>
      <c r="M106" s="4"/>
      <c r="N106" s="838">
        <f t="shared" si="56"/>
        <v>2228.8083452440806</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0.10871632373127479</v>
      </c>
      <c r="Q106" s="832">
        <f t="shared" si="57"/>
        <v>121.15392479826117</v>
      </c>
      <c r="R106" s="832">
        <f t="shared" si="58"/>
        <v>121.15392479826117</v>
      </c>
      <c r="S106" s="835">
        <f t="shared" si="59"/>
        <v>0</v>
      </c>
      <c r="T106" s="832">
        <f t="shared" si="60"/>
        <v>7922.3884379772044</v>
      </c>
      <c r="U106" s="832">
        <f t="shared" si="61"/>
        <v>399.9778465771625</v>
      </c>
      <c r="V106" s="839">
        <f t="shared" si="62"/>
        <v>266.65189771810833</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4430.0743538035495</v>
      </c>
      <c r="AE106" s="854">
        <f t="shared" si="68"/>
        <v>227.13476914681419</v>
      </c>
      <c r="AF106" s="856">
        <f t="shared" si="69"/>
        <v>151.42317943120946</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4430.0743538035495</v>
      </c>
      <c r="AO106" s="854">
        <f t="shared" si="75"/>
        <v>227.13476914681419</v>
      </c>
      <c r="AP106" s="856">
        <f t="shared" si="76"/>
        <v>151.42317943120946</v>
      </c>
      <c r="AQ106" s="4"/>
      <c r="AR106" s="1042">
        <f>'Recycling - Case 2'!G116</f>
        <v>779.22127390662058</v>
      </c>
      <c r="AS106" s="1043">
        <v>1</v>
      </c>
      <c r="AT106" s="1043">
        <f t="shared" si="77"/>
        <v>0.05</v>
      </c>
      <c r="AU106" s="1044">
        <f t="shared" si="78"/>
        <v>19.480531847665517</v>
      </c>
      <c r="AV106" s="1044">
        <f t="shared" si="79"/>
        <v>19.480531847665517</v>
      </c>
      <c r="AW106" s="1045">
        <f t="shared" si="80"/>
        <v>0</v>
      </c>
      <c r="AX106" s="1044">
        <f t="shared" si="44"/>
        <v>249.39599967802656</v>
      </c>
      <c r="AY106" s="1044">
        <f t="shared" si="49"/>
        <v>14.217178527990249</v>
      </c>
      <c r="AZ106" s="1046">
        <f t="shared" si="47"/>
        <v>9.4781190186601663</v>
      </c>
      <c r="BA106" s="4"/>
      <c r="BB106" s="1055">
        <f t="shared" si="81"/>
        <v>266.65189771810833</v>
      </c>
      <c r="BC106" s="1056">
        <f t="shared" si="82"/>
        <v>151.42317943120946</v>
      </c>
      <c r="BD106" s="1082">
        <f t="shared" si="90"/>
        <v>9.4781190186601663</v>
      </c>
      <c r="BE106" s="1056">
        <f t="shared" si="54"/>
        <v>427.55319616797794</v>
      </c>
      <c r="BF106" s="167">
        <v>0</v>
      </c>
      <c r="BG106" s="1075">
        <f t="shared" si="83"/>
        <v>427.55319616797794</v>
      </c>
      <c r="BI106" s="1055">
        <f t="shared" si="84"/>
        <v>266.65189771810833</v>
      </c>
      <c r="BJ106" s="1056">
        <f t="shared" si="85"/>
        <v>151.42317943120946</v>
      </c>
      <c r="BK106" s="1082">
        <f t="shared" si="86"/>
        <v>9.4781190186601663</v>
      </c>
      <c r="BL106" s="1056">
        <f t="shared" si="55"/>
        <v>427.55319616797794</v>
      </c>
      <c r="BM106" s="167">
        <v>0</v>
      </c>
      <c r="BN106" s="1075">
        <f t="shared" si="87"/>
        <v>427.55319616797794</v>
      </c>
    </row>
    <row r="107" spans="1:66">
      <c r="A107" s="927">
        <f>'Input data'!A137</f>
        <v>2037</v>
      </c>
      <c r="B107" s="824">
        <f>'Input data'!B137</f>
        <v>69.83</v>
      </c>
      <c r="C107" s="824">
        <f>'Recycling - Case 2'!AK117/B107</f>
        <v>276.25840535143044</v>
      </c>
      <c r="D107" s="825">
        <f>'Recycling - Case 2'!AM117</f>
        <v>0.11553542933791988</v>
      </c>
      <c r="E107" s="826">
        <f>'Recycling - Case 2'!BE117</f>
        <v>0.21590373797893481</v>
      </c>
      <c r="F107" s="826">
        <f>'Recycling - Case 2'!BF117</f>
        <v>0.27382434962354552</v>
      </c>
      <c r="G107" s="826">
        <f>'Recycling - Case 2'!BG117</f>
        <v>5.4336238485802095E-2</v>
      </c>
      <c r="H107" s="826">
        <f>'Recycling - Case 2'!BH117</f>
        <v>0</v>
      </c>
      <c r="I107" s="826">
        <f>'Recycling - Case 2'!BI117</f>
        <v>0</v>
      </c>
      <c r="J107" s="826">
        <f>'Recycling - Case 2'!BJ117</f>
        <v>0</v>
      </c>
      <c r="K107" s="826">
        <f>'Recycling - Case 2'!BK117</f>
        <v>0.45593567391171747</v>
      </c>
      <c r="L107" s="827">
        <f t="shared" si="89"/>
        <v>0.99999999999999978</v>
      </c>
      <c r="M107" s="4"/>
      <c r="N107" s="838">
        <f t="shared" si="56"/>
        <v>2228.8083452440806</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0.10888492601587016</v>
      </c>
      <c r="Q107" s="832">
        <f t="shared" si="57"/>
        <v>121.34181588772785</v>
      </c>
      <c r="R107" s="832">
        <f t="shared" si="58"/>
        <v>121.34181588772785</v>
      </c>
      <c r="S107" s="835">
        <f t="shared" si="59"/>
        <v>0</v>
      </c>
      <c r="T107" s="832">
        <f t="shared" si="60"/>
        <v>7657.3508104158946</v>
      </c>
      <c r="U107" s="832">
        <f t="shared" si="61"/>
        <v>386.37944344903758</v>
      </c>
      <c r="V107" s="839">
        <f t="shared" si="62"/>
        <v>257.5862956326917</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4214.0170780639228</v>
      </c>
      <c r="AE107" s="854">
        <f t="shared" si="68"/>
        <v>216.05727573962659</v>
      </c>
      <c r="AF107" s="856">
        <f t="shared" si="69"/>
        <v>144.03818382641774</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4214.0170780639228</v>
      </c>
      <c r="AO107" s="854">
        <f t="shared" si="75"/>
        <v>216.05727573962659</v>
      </c>
      <c r="AP107" s="856">
        <f t="shared" si="76"/>
        <v>144.03818382641774</v>
      </c>
      <c r="AQ107" s="4"/>
      <c r="AR107" s="1042">
        <f>'Recycling - Case 2'!G117</f>
        <v>784.92017882808466</v>
      </c>
      <c r="AS107" s="1043">
        <v>1</v>
      </c>
      <c r="AT107" s="1043">
        <f t="shared" si="77"/>
        <v>0.05</v>
      </c>
      <c r="AU107" s="1044">
        <f t="shared" si="78"/>
        <v>19.623004470702117</v>
      </c>
      <c r="AV107" s="1044">
        <f t="shared" si="79"/>
        <v>19.623004470702117</v>
      </c>
      <c r="AW107" s="1045">
        <f t="shared" si="80"/>
        <v>0</v>
      </c>
      <c r="AX107" s="1044">
        <f t="shared" si="44"/>
        <v>254.49531178525623</v>
      </c>
      <c r="AY107" s="1044">
        <f t="shared" si="49"/>
        <v>14.523692363472433</v>
      </c>
      <c r="AZ107" s="1046">
        <f t="shared" si="47"/>
        <v>9.6824615756482881</v>
      </c>
      <c r="BA107" s="4"/>
      <c r="BB107" s="1055">
        <f t="shared" si="81"/>
        <v>257.5862956326917</v>
      </c>
      <c r="BC107" s="1056">
        <f t="shared" si="82"/>
        <v>144.03818382641774</v>
      </c>
      <c r="BD107" s="1082">
        <f t="shared" si="90"/>
        <v>9.6824615756482881</v>
      </c>
      <c r="BE107" s="1056">
        <f t="shared" si="54"/>
        <v>411.30694103475776</v>
      </c>
      <c r="BF107" s="167">
        <v>0</v>
      </c>
      <c r="BG107" s="1075">
        <f t="shared" si="83"/>
        <v>411.30694103475776</v>
      </c>
      <c r="BI107" s="1055">
        <f t="shared" si="84"/>
        <v>257.5862956326917</v>
      </c>
      <c r="BJ107" s="1056">
        <f t="shared" si="85"/>
        <v>144.03818382641774</v>
      </c>
      <c r="BK107" s="1082">
        <f t="shared" si="86"/>
        <v>9.6824615756482881</v>
      </c>
      <c r="BL107" s="1056">
        <f t="shared" si="55"/>
        <v>411.30694103475776</v>
      </c>
      <c r="BM107" s="167">
        <v>0</v>
      </c>
      <c r="BN107" s="1075">
        <f t="shared" si="87"/>
        <v>411.30694103475776</v>
      </c>
    </row>
    <row r="108" spans="1:66">
      <c r="A108" s="927">
        <f>'Input data'!A138</f>
        <v>2038</v>
      </c>
      <c r="B108" s="824">
        <f>'Input data'!B138</f>
        <v>70.341999999999999</v>
      </c>
      <c r="C108" s="824">
        <f>'Recycling - Case 2'!AK118/B108</f>
        <v>275.2330401205744</v>
      </c>
      <c r="D108" s="825">
        <f>'Recycling - Case 2'!AM118</f>
        <v>0.11512176667989489</v>
      </c>
      <c r="E108" s="826">
        <f>'Recycling - Case 2'!BE118</f>
        <v>0.21644759384611525</v>
      </c>
      <c r="F108" s="826">
        <f>'Recycling - Case 2'!BF118</f>
        <v>0.27451410599605514</v>
      </c>
      <c r="G108" s="826">
        <f>'Recycling - Case 2'!BG118</f>
        <v>5.4204877446273496E-2</v>
      </c>
      <c r="H108" s="826">
        <f>'Recycling - Case 2'!BH118</f>
        <v>0</v>
      </c>
      <c r="I108" s="826">
        <f>'Recycling - Case 2'!BI118</f>
        <v>0</v>
      </c>
      <c r="J108" s="826">
        <f>'Recycling - Case 2'!BJ118</f>
        <v>0</v>
      </c>
      <c r="K108" s="826">
        <f>'Recycling - Case 2'!BK118</f>
        <v>0.45483342271155608</v>
      </c>
      <c r="L108" s="827">
        <f t="shared" si="89"/>
        <v>1</v>
      </c>
      <c r="M108" s="4"/>
      <c r="N108" s="838">
        <f t="shared" si="56"/>
        <v>2228.8083452440806</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0.10905191125463772</v>
      </c>
      <c r="Q108" s="832">
        <f t="shared" si="57"/>
        <v>121.52790493457671</v>
      </c>
      <c r="R108" s="832">
        <f t="shared" si="58"/>
        <v>121.52790493457671</v>
      </c>
      <c r="S108" s="835">
        <f t="shared" si="59"/>
        <v>0</v>
      </c>
      <c r="T108" s="832">
        <f t="shared" si="60"/>
        <v>7405.425309526564</v>
      </c>
      <c r="U108" s="832">
        <f t="shared" si="61"/>
        <v>373.45340582390708</v>
      </c>
      <c r="V108" s="839">
        <f t="shared" si="62"/>
        <v>248.96893721593804</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4008.4970400029256</v>
      </c>
      <c r="AE108" s="854">
        <f t="shared" si="68"/>
        <v>205.52003806099705</v>
      </c>
      <c r="AF108" s="856">
        <f t="shared" si="69"/>
        <v>137.01335870733138</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4008.4970400029256</v>
      </c>
      <c r="AO108" s="854">
        <f t="shared" si="75"/>
        <v>205.52003806099705</v>
      </c>
      <c r="AP108" s="856">
        <f t="shared" si="76"/>
        <v>137.01335870733138</v>
      </c>
      <c r="AQ108" s="4"/>
      <c r="AR108" s="1042">
        <f>'Recycling - Case 2'!G118</f>
        <v>790.6752859677091</v>
      </c>
      <c r="AS108" s="1043">
        <v>1</v>
      </c>
      <c r="AT108" s="1043">
        <f t="shared" si="77"/>
        <v>0.05</v>
      </c>
      <c r="AU108" s="1044">
        <f t="shared" si="78"/>
        <v>19.766882149192728</v>
      </c>
      <c r="AV108" s="1044">
        <f t="shared" si="79"/>
        <v>19.766882149192728</v>
      </c>
      <c r="AW108" s="1045">
        <f t="shared" si="80"/>
        <v>0</v>
      </c>
      <c r="AX108" s="1044">
        <f t="shared" si="44"/>
        <v>259.44154075201254</v>
      </c>
      <c r="AY108" s="1044">
        <f t="shared" si="49"/>
        <v>14.820653182436441</v>
      </c>
      <c r="AZ108" s="1046">
        <f t="shared" si="47"/>
        <v>9.8804354549576274</v>
      </c>
      <c r="BA108" s="4"/>
      <c r="BB108" s="1055">
        <f t="shared" si="81"/>
        <v>248.96893721593804</v>
      </c>
      <c r="BC108" s="1056">
        <f t="shared" si="82"/>
        <v>137.01335870733138</v>
      </c>
      <c r="BD108" s="1082">
        <f t="shared" si="90"/>
        <v>9.8804354549576274</v>
      </c>
      <c r="BE108" s="1056">
        <f t="shared" si="54"/>
        <v>395.86273137822707</v>
      </c>
      <c r="BF108" s="167">
        <v>0</v>
      </c>
      <c r="BG108" s="1075">
        <f t="shared" si="83"/>
        <v>395.86273137822707</v>
      </c>
      <c r="BI108" s="1055">
        <f t="shared" si="84"/>
        <v>248.96893721593804</v>
      </c>
      <c r="BJ108" s="1056">
        <f t="shared" si="85"/>
        <v>137.01335870733138</v>
      </c>
      <c r="BK108" s="1082">
        <f t="shared" si="86"/>
        <v>9.8804354549576274</v>
      </c>
      <c r="BL108" s="1056">
        <f t="shared" si="55"/>
        <v>395.86273137822707</v>
      </c>
      <c r="BM108" s="167">
        <v>0</v>
      </c>
      <c r="BN108" s="1075">
        <f t="shared" si="87"/>
        <v>395.86273137822707</v>
      </c>
    </row>
    <row r="109" spans="1:66">
      <c r="A109" s="927">
        <f>'Input data'!A139</f>
        <v>2039</v>
      </c>
      <c r="B109" s="824">
        <f>'Input data'!B139</f>
        <v>70.856999999999999</v>
      </c>
      <c r="C109" s="824">
        <f>'Recycling - Case 2'!AK119/B109</f>
        <v>274.21719647143982</v>
      </c>
      <c r="D109" s="825">
        <f>'Recycling - Case 2'!AM119</f>
        <v>0.11470841474361894</v>
      </c>
      <c r="E109" s="826">
        <f>'Recycling - Case 2'!BE119</f>
        <v>0.21698411843628101</v>
      </c>
      <c r="F109" s="826">
        <f>'Recycling - Case 2'!BF119</f>
        <v>0.27519456432593142</v>
      </c>
      <c r="G109" s="826">
        <f>'Recycling - Case 2'!BG119</f>
        <v>5.4075287177693221E-2</v>
      </c>
      <c r="H109" s="826">
        <f>'Recycling - Case 2'!BH119</f>
        <v>0</v>
      </c>
      <c r="I109" s="826">
        <f>'Recycling - Case 2'!BI119</f>
        <v>0</v>
      </c>
      <c r="J109" s="826">
        <f>'Recycling - Case 2'!BJ119</f>
        <v>0</v>
      </c>
      <c r="K109" s="826">
        <f>'Recycling - Case 2'!BK119</f>
        <v>0.45374603006009434</v>
      </c>
      <c r="L109" s="827">
        <f t="shared" si="89"/>
        <v>1</v>
      </c>
      <c r="M109" s="4"/>
      <c r="N109" s="838">
        <f t="shared" si="56"/>
        <v>2228.8083452440806</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0.10921664550170572</v>
      </c>
      <c r="Q109" s="832">
        <f t="shared" si="57"/>
        <v>121.71148546688303</v>
      </c>
      <c r="R109" s="832">
        <f t="shared" si="58"/>
        <v>121.71148546688303</v>
      </c>
      <c r="S109" s="835">
        <f t="shared" si="59"/>
        <v>0</v>
      </c>
      <c r="T109" s="832">
        <f t="shared" si="60"/>
        <v>7165.9699408308588</v>
      </c>
      <c r="U109" s="832">
        <f t="shared" si="61"/>
        <v>361.16685416258855</v>
      </c>
      <c r="V109" s="839">
        <f t="shared" si="62"/>
        <v>240.77790277505903</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3813.0003324747986</v>
      </c>
      <c r="AE109" s="854">
        <f t="shared" si="68"/>
        <v>195.49670752812708</v>
      </c>
      <c r="AF109" s="856">
        <f t="shared" si="69"/>
        <v>130.33113835208471</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3813.0003324747986</v>
      </c>
      <c r="AO109" s="854">
        <f t="shared" si="75"/>
        <v>195.49670752812708</v>
      </c>
      <c r="AP109" s="856">
        <f t="shared" si="76"/>
        <v>130.33113835208471</v>
      </c>
      <c r="AQ109" s="4"/>
      <c r="AR109" s="1042">
        <f>'Recycling - Case 2'!G119</f>
        <v>796.46411443823001</v>
      </c>
      <c r="AS109" s="1043">
        <v>1</v>
      </c>
      <c r="AT109" s="1043">
        <f t="shared" si="77"/>
        <v>0.05</v>
      </c>
      <c r="AU109" s="1044">
        <f t="shared" si="78"/>
        <v>19.911602860955753</v>
      </c>
      <c r="AV109" s="1044">
        <f t="shared" si="79"/>
        <v>19.911602860955753</v>
      </c>
      <c r="AW109" s="1045">
        <f t="shared" si="80"/>
        <v>0</v>
      </c>
      <c r="AX109" s="1044">
        <f t="shared" si="44"/>
        <v>264.24444447965368</v>
      </c>
      <c r="AY109" s="1044">
        <f t="shared" si="49"/>
        <v>15.108699133314593</v>
      </c>
      <c r="AZ109" s="1046">
        <f t="shared" si="47"/>
        <v>10.072466088876395</v>
      </c>
      <c r="BA109" s="4"/>
      <c r="BB109" s="1055">
        <f t="shared" si="81"/>
        <v>240.77790277505903</v>
      </c>
      <c r="BC109" s="1056">
        <f t="shared" si="82"/>
        <v>130.33113835208471</v>
      </c>
      <c r="BD109" s="1082">
        <f t="shared" si="90"/>
        <v>10.072466088876395</v>
      </c>
      <c r="BE109" s="1056">
        <f t="shared" si="54"/>
        <v>381.18150721602018</v>
      </c>
      <c r="BF109" s="167">
        <v>0</v>
      </c>
      <c r="BG109" s="1075">
        <f t="shared" si="83"/>
        <v>381.18150721602018</v>
      </c>
      <c r="BI109" s="1055">
        <f t="shared" si="84"/>
        <v>240.77790277505903</v>
      </c>
      <c r="BJ109" s="1056">
        <f t="shared" si="85"/>
        <v>130.33113835208471</v>
      </c>
      <c r="BK109" s="1082">
        <f t="shared" si="86"/>
        <v>10.072466088876395</v>
      </c>
      <c r="BL109" s="1056">
        <f t="shared" si="55"/>
        <v>381.18150721602018</v>
      </c>
      <c r="BM109" s="167">
        <v>0</v>
      </c>
      <c r="BN109" s="1075">
        <f t="shared" si="87"/>
        <v>381.18150721602018</v>
      </c>
    </row>
    <row r="110" spans="1:66">
      <c r="A110" s="927">
        <f>'Input data'!A140</f>
        <v>2040</v>
      </c>
      <c r="B110" s="824">
        <f>'Input data'!B140</f>
        <v>71.375</v>
      </c>
      <c r="C110" s="824">
        <f>'Recycling - Case 2'!AK120/B110</f>
        <v>273.21078978421536</v>
      </c>
      <c r="D110" s="825">
        <f>'Recycling - Case 2'!AM120</f>
        <v>0.11429540140323477</v>
      </c>
      <c r="E110" s="826">
        <f>'Recycling - Case 2'!BE120</f>
        <v>0.2175134322347107</v>
      </c>
      <c r="F110" s="826">
        <f>'Recycling - Case 2'!BF120</f>
        <v>0.27586587742110319</v>
      </c>
      <c r="G110" s="826">
        <f>'Recycling - Case 2'!BG120</f>
        <v>5.3947438578469578E-2</v>
      </c>
      <c r="H110" s="826">
        <f>'Recycling - Case 2'!BH120</f>
        <v>0</v>
      </c>
      <c r="I110" s="826">
        <f>'Recycling - Case 2'!BI120</f>
        <v>0</v>
      </c>
      <c r="J110" s="826">
        <f>'Recycling - Case 2'!BJ120</f>
        <v>0</v>
      </c>
      <c r="K110" s="826">
        <f>'Recycling - Case 2'!BK120</f>
        <v>0.45267325176571649</v>
      </c>
      <c r="L110" s="827">
        <f t="shared" si="89"/>
        <v>1</v>
      </c>
      <c r="M110" s="4"/>
      <c r="N110" s="838">
        <f t="shared" si="56"/>
        <v>2228.8083452440806</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0.10937916575081506</v>
      </c>
      <c r="Q110" s="832">
        <f t="shared" si="57"/>
        <v>121.89259871062606</v>
      </c>
      <c r="R110" s="832">
        <f t="shared" si="58"/>
        <v>121.89259871062606</v>
      </c>
      <c r="S110" s="835">
        <f t="shared" si="59"/>
        <v>0</v>
      </c>
      <c r="T110" s="832">
        <f t="shared" si="60"/>
        <v>6938.3740615165798</v>
      </c>
      <c r="U110" s="832">
        <f t="shared" si="61"/>
        <v>349.48847802490531</v>
      </c>
      <c r="V110" s="839">
        <f t="shared" si="62"/>
        <v>232.99231868327021</v>
      </c>
      <c r="W110" s="4"/>
      <c r="X110" s="852">
        <f>'Recycling - Case 2'!AM160</f>
        <v>54.458288054632654</v>
      </c>
      <c r="Y110" s="853">
        <f>Parameters!S245</f>
        <v>0.71500000000000008</v>
      </c>
      <c r="Z110" s="853">
        <f t="shared" si="63"/>
        <v>0.4</v>
      </c>
      <c r="AA110" s="854">
        <f t="shared" si="64"/>
        <v>7.7875351918124709</v>
      </c>
      <c r="AB110" s="854">
        <f t="shared" si="65"/>
        <v>7.7875351918124709</v>
      </c>
      <c r="AC110" s="855">
        <f t="shared" si="66"/>
        <v>0</v>
      </c>
      <c r="AD110" s="854">
        <f t="shared" si="67"/>
        <v>3634.8256470728461</v>
      </c>
      <c r="AE110" s="854">
        <f t="shared" si="68"/>
        <v>185.96222059376473</v>
      </c>
      <c r="AF110" s="856">
        <f t="shared" si="69"/>
        <v>123.97481372917649</v>
      </c>
      <c r="AG110" s="4"/>
      <c r="AH110" s="852">
        <f>'Recycling - Case 2'!AM200</f>
        <v>54.458288054632654</v>
      </c>
      <c r="AI110" s="853">
        <f>Parameters!S245</f>
        <v>0.71500000000000008</v>
      </c>
      <c r="AJ110" s="853">
        <f t="shared" si="70"/>
        <v>0.4</v>
      </c>
      <c r="AK110" s="854">
        <f t="shared" si="71"/>
        <v>7.7875351918124709</v>
      </c>
      <c r="AL110" s="854">
        <f t="shared" si="72"/>
        <v>7.7875351918124709</v>
      </c>
      <c r="AM110" s="855">
        <f t="shared" si="73"/>
        <v>0</v>
      </c>
      <c r="AN110" s="854">
        <f t="shared" si="74"/>
        <v>3634.8256470728461</v>
      </c>
      <c r="AO110" s="854">
        <f t="shared" si="75"/>
        <v>185.96222059376473</v>
      </c>
      <c r="AP110" s="856">
        <f t="shared" si="76"/>
        <v>123.97481372917649</v>
      </c>
      <c r="AQ110" s="4"/>
      <c r="AR110" s="1042">
        <f>'Recycling - Case 2'!G120</f>
        <v>802.28666423964694</v>
      </c>
      <c r="AS110" s="1043">
        <v>1</v>
      </c>
      <c r="AT110" s="1043">
        <f t="shared" si="77"/>
        <v>0.05</v>
      </c>
      <c r="AU110" s="1044">
        <f t="shared" si="78"/>
        <v>20.057166605991174</v>
      </c>
      <c r="AV110" s="1044">
        <f t="shared" si="79"/>
        <v>20.057166605991174</v>
      </c>
      <c r="AW110" s="1045">
        <f t="shared" si="80"/>
        <v>0</v>
      </c>
      <c r="AX110" s="1044">
        <f t="shared" si="44"/>
        <v>268.91321261360116</v>
      </c>
      <c r="AY110" s="1044">
        <f t="shared" si="49"/>
        <v>15.388398472043725</v>
      </c>
      <c r="AZ110" s="1046">
        <f t="shared" si="47"/>
        <v>10.258932314695818</v>
      </c>
      <c r="BA110" s="4"/>
      <c r="BB110" s="1055">
        <f t="shared" si="81"/>
        <v>232.99231868327021</v>
      </c>
      <c r="BC110" s="1056">
        <f t="shared" si="82"/>
        <v>123.97481372917649</v>
      </c>
      <c r="BD110" s="1082">
        <f t="shared" si="90"/>
        <v>10.258932314695818</v>
      </c>
      <c r="BE110" s="1056">
        <f t="shared" si="54"/>
        <v>367.2260647271425</v>
      </c>
      <c r="BF110" s="167">
        <v>0</v>
      </c>
      <c r="BG110" s="1075">
        <f t="shared" si="83"/>
        <v>367.2260647271425</v>
      </c>
      <c r="BI110" s="1055">
        <f t="shared" si="84"/>
        <v>232.99231868327021</v>
      </c>
      <c r="BJ110" s="1056">
        <f t="shared" si="85"/>
        <v>123.97481372917649</v>
      </c>
      <c r="BK110" s="1082">
        <f t="shared" si="86"/>
        <v>10.258932314695818</v>
      </c>
      <c r="BL110" s="1056">
        <f t="shared" si="55"/>
        <v>367.2260647271425</v>
      </c>
      <c r="BM110" s="167">
        <v>0</v>
      </c>
      <c r="BN110" s="1075">
        <f t="shared" si="87"/>
        <v>367.2260647271425</v>
      </c>
    </row>
    <row r="111" spans="1:66">
      <c r="A111" s="927">
        <f>'Input data'!A141</f>
        <v>2041</v>
      </c>
      <c r="B111" s="824">
        <f>'Input data'!B141</f>
        <v>71.819000000000003</v>
      </c>
      <c r="C111" s="824">
        <f>'Recycling - Case 2'!AK121/B111</f>
        <v>272.36014762770844</v>
      </c>
      <c r="D111" s="825">
        <f>'Recycling - Case 2'!AM121</f>
        <v>0.1139435668992394</v>
      </c>
      <c r="E111" s="826">
        <f>'Recycling - Case 2'!BE121</f>
        <v>0.21795910323761117</v>
      </c>
      <c r="F111" s="826">
        <f>'Recycling - Case 2'!BF121</f>
        <v>0.27643110882310512</v>
      </c>
      <c r="G111" s="826">
        <f>'Recycling - Case 2'!BG121</f>
        <v>5.3839792766846174E-2</v>
      </c>
      <c r="H111" s="826">
        <f>'Recycling - Case 2'!BH121</f>
        <v>0</v>
      </c>
      <c r="I111" s="826">
        <f>'Recycling - Case 2'!BI121</f>
        <v>0</v>
      </c>
      <c r="J111" s="826">
        <f>'Recycling - Case 2'!BJ121</f>
        <v>0</v>
      </c>
      <c r="K111" s="826">
        <f>'Recycling - Case 2'!BK121</f>
        <v>0.45176999517243749</v>
      </c>
      <c r="L111" s="827">
        <f t="shared" si="89"/>
        <v>1</v>
      </c>
      <c r="M111" s="4"/>
      <c r="N111" s="838">
        <f t="shared" si="56"/>
        <v>2228.8083452440806</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0.10951600435700118</v>
      </c>
      <c r="Q111" s="832">
        <f t="shared" si="57"/>
        <v>122.04509222433566</v>
      </c>
      <c r="R111" s="832">
        <f t="shared" si="58"/>
        <v>122.04509222433566</v>
      </c>
      <c r="S111" s="835">
        <f t="shared" si="59"/>
        <v>0</v>
      </c>
      <c r="T111" s="832">
        <f t="shared" si="60"/>
        <v>6722.0306577314332</v>
      </c>
      <c r="U111" s="832">
        <f t="shared" si="61"/>
        <v>338.38849600948191</v>
      </c>
      <c r="V111" s="839">
        <f t="shared" si="62"/>
        <v>225.59233067298794</v>
      </c>
      <c r="W111" s="4"/>
      <c r="X111" s="852">
        <f>'Recycling - Case 2'!AM161</f>
        <v>93.062142488016335</v>
      </c>
      <c r="Y111" s="853">
        <f>Parameters!S246</f>
        <v>0.71500000000000008</v>
      </c>
      <c r="Z111" s="853">
        <f t="shared" si="63"/>
        <v>0.4</v>
      </c>
      <c r="AA111" s="854">
        <f t="shared" si="64"/>
        <v>13.307886375786339</v>
      </c>
      <c r="AB111" s="854">
        <f t="shared" si="65"/>
        <v>13.307886375786339</v>
      </c>
      <c r="AC111" s="855">
        <f t="shared" si="66"/>
        <v>0</v>
      </c>
      <c r="AD111" s="854">
        <f t="shared" si="67"/>
        <v>3470.8609948013254</v>
      </c>
      <c r="AE111" s="854">
        <f t="shared" si="68"/>
        <v>177.27253864730727</v>
      </c>
      <c r="AF111" s="856">
        <f t="shared" si="69"/>
        <v>118.18169243153818</v>
      </c>
      <c r="AG111" s="4"/>
      <c r="AH111" s="852">
        <f>'Recycling - Case 2'!AM201</f>
        <v>93.062142488016335</v>
      </c>
      <c r="AI111" s="853">
        <f>Parameters!S246</f>
        <v>0.71500000000000008</v>
      </c>
      <c r="AJ111" s="853">
        <f t="shared" si="70"/>
        <v>0.4</v>
      </c>
      <c r="AK111" s="854">
        <f t="shared" si="71"/>
        <v>13.307886375786339</v>
      </c>
      <c r="AL111" s="854">
        <f t="shared" si="72"/>
        <v>13.307886375786339</v>
      </c>
      <c r="AM111" s="855">
        <f t="shared" si="73"/>
        <v>0</v>
      </c>
      <c r="AN111" s="854">
        <f t="shared" si="74"/>
        <v>3470.8609948013254</v>
      </c>
      <c r="AO111" s="854">
        <f t="shared" si="75"/>
        <v>177.27253864730727</v>
      </c>
      <c r="AP111" s="856">
        <f t="shared" si="76"/>
        <v>118.18169243153818</v>
      </c>
      <c r="AQ111" s="4"/>
      <c r="AR111" s="1042">
        <f>'Recycling - Case 2'!G121</f>
        <v>807.27742121229016</v>
      </c>
      <c r="AS111" s="1043">
        <v>1</v>
      </c>
      <c r="AT111" s="1043">
        <f t="shared" si="77"/>
        <v>0.05</v>
      </c>
      <c r="AU111" s="1044">
        <f t="shared" si="78"/>
        <v>20.181935530307257</v>
      </c>
      <c r="AV111" s="1044">
        <f t="shared" si="79"/>
        <v>20.181935530307257</v>
      </c>
      <c r="AW111" s="1045">
        <f t="shared" si="80"/>
        <v>0</v>
      </c>
      <c r="AX111" s="1044">
        <f t="shared" si="44"/>
        <v>273.43486178199726</v>
      </c>
      <c r="AY111" s="1044">
        <f t="shared" si="49"/>
        <v>15.660286361911155</v>
      </c>
      <c r="AZ111" s="1046">
        <f t="shared" si="47"/>
        <v>10.440190907940769</v>
      </c>
      <c r="BA111" s="4"/>
      <c r="BB111" s="1055">
        <f t="shared" si="81"/>
        <v>225.59233067298794</v>
      </c>
      <c r="BC111" s="1056">
        <f t="shared" si="82"/>
        <v>118.18169243153818</v>
      </c>
      <c r="BD111" s="1082">
        <f t="shared" si="90"/>
        <v>10.440190907940769</v>
      </c>
      <c r="BE111" s="1056">
        <f t="shared" si="54"/>
        <v>354.21421401246687</v>
      </c>
      <c r="BF111" s="167">
        <v>0</v>
      </c>
      <c r="BG111" s="1075">
        <f t="shared" si="83"/>
        <v>354.21421401246687</v>
      </c>
      <c r="BI111" s="1055">
        <f t="shared" si="84"/>
        <v>225.59233067298794</v>
      </c>
      <c r="BJ111" s="1056">
        <f t="shared" si="85"/>
        <v>118.18169243153818</v>
      </c>
      <c r="BK111" s="1082">
        <f t="shared" si="86"/>
        <v>10.440190907940769</v>
      </c>
      <c r="BL111" s="1056">
        <f t="shared" si="55"/>
        <v>354.21421401246687</v>
      </c>
      <c r="BM111" s="167">
        <v>0</v>
      </c>
      <c r="BN111" s="1075">
        <f t="shared" si="87"/>
        <v>354.21421401246687</v>
      </c>
    </row>
    <row r="112" spans="1:66">
      <c r="A112" s="927">
        <f>'Input data'!A142</f>
        <v>2042</v>
      </c>
      <c r="B112" s="824">
        <f>'Input data'!B142</f>
        <v>72.265000000000001</v>
      </c>
      <c r="C112" s="824">
        <f>'Recycling - Case 2'!AK122/B112</f>
        <v>271.51659081789433</v>
      </c>
      <c r="D112" s="825">
        <f>'Recycling - Case 2'!AM122</f>
        <v>0.11359215694026195</v>
      </c>
      <c r="E112" s="826">
        <f>'Recycling - Case 2'!BE122</f>
        <v>0.21839951409244363</v>
      </c>
      <c r="F112" s="826">
        <f>'Recycling - Case 2'!BF122</f>
        <v>0.27698966893429416</v>
      </c>
      <c r="G112" s="826">
        <f>'Recycling - Case 2'!BG122</f>
        <v>5.373341747294632E-2</v>
      </c>
      <c r="H112" s="826">
        <f>'Recycling - Case 2'!BH122</f>
        <v>0</v>
      </c>
      <c r="I112" s="826">
        <f>'Recycling - Case 2'!BI122</f>
        <v>0</v>
      </c>
      <c r="J112" s="826">
        <f>'Recycling - Case 2'!BJ122</f>
        <v>0</v>
      </c>
      <c r="K112" s="826">
        <f>'Recycling - Case 2'!BK122</f>
        <v>0.4508773995003158</v>
      </c>
      <c r="L112" s="827">
        <f t="shared" si="89"/>
        <v>0.99999999999999989</v>
      </c>
      <c r="M112" s="4"/>
      <c r="N112" s="838">
        <f t="shared" si="56"/>
        <v>2228.808345244081</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0.10965122788990392</v>
      </c>
      <c r="Q112" s="832">
        <f t="shared" si="57"/>
        <v>122.19578589363918</v>
      </c>
      <c r="R112" s="832">
        <f t="shared" si="58"/>
        <v>122.19578589363918</v>
      </c>
      <c r="S112" s="835">
        <f t="shared" si="59"/>
        <v>0</v>
      </c>
      <c r="T112" s="832">
        <f t="shared" si="60"/>
        <v>6516.3891399236663</v>
      </c>
      <c r="U112" s="832">
        <f t="shared" si="61"/>
        <v>327.83730370140586</v>
      </c>
      <c r="V112" s="839">
        <f t="shared" si="62"/>
        <v>218.55820246760391</v>
      </c>
      <c r="W112" s="4"/>
      <c r="X112" s="852">
        <f>'Recycling - Case 2'!AM162</f>
        <v>132.64546936052548</v>
      </c>
      <c r="Y112" s="853">
        <f>Parameters!S247</f>
        <v>0.71500000000000008</v>
      </c>
      <c r="Z112" s="853">
        <f t="shared" si="63"/>
        <v>0.4</v>
      </c>
      <c r="AA112" s="854">
        <f t="shared" si="64"/>
        <v>18.968302118555147</v>
      </c>
      <c r="AB112" s="854">
        <f t="shared" si="65"/>
        <v>18.968302118555147</v>
      </c>
      <c r="AC112" s="855">
        <f t="shared" si="66"/>
        <v>0</v>
      </c>
      <c r="AD112" s="854">
        <f t="shared" si="67"/>
        <v>3320.5534087253955</v>
      </c>
      <c r="AE112" s="854">
        <f t="shared" si="68"/>
        <v>169.27588819448491</v>
      </c>
      <c r="AF112" s="856">
        <f t="shared" si="69"/>
        <v>112.8505921296566</v>
      </c>
      <c r="AG112" s="4"/>
      <c r="AH112" s="852">
        <f>'Recycling - Case 2'!AM202</f>
        <v>132.64546936052548</v>
      </c>
      <c r="AI112" s="853">
        <f>Parameters!S247</f>
        <v>0.71500000000000008</v>
      </c>
      <c r="AJ112" s="853">
        <f t="shared" si="70"/>
        <v>0.4</v>
      </c>
      <c r="AK112" s="854">
        <f t="shared" si="71"/>
        <v>18.968302118555147</v>
      </c>
      <c r="AL112" s="854">
        <f t="shared" si="72"/>
        <v>18.968302118555147</v>
      </c>
      <c r="AM112" s="855">
        <f t="shared" si="73"/>
        <v>0</v>
      </c>
      <c r="AN112" s="854">
        <f t="shared" si="74"/>
        <v>3320.5534087253955</v>
      </c>
      <c r="AO112" s="854">
        <f t="shared" si="75"/>
        <v>169.27588819448491</v>
      </c>
      <c r="AP112" s="856">
        <f t="shared" si="76"/>
        <v>112.8505921296566</v>
      </c>
      <c r="AQ112" s="4"/>
      <c r="AR112" s="1042">
        <f>'Recycling - Case 2'!G122</f>
        <v>812.29065907219729</v>
      </c>
      <c r="AS112" s="1043">
        <v>1</v>
      </c>
      <c r="AT112" s="1043">
        <f t="shared" si="77"/>
        <v>0.05</v>
      </c>
      <c r="AU112" s="1044">
        <f t="shared" si="78"/>
        <v>20.307266476804934</v>
      </c>
      <c r="AV112" s="1044">
        <f t="shared" si="79"/>
        <v>20.307266476804934</v>
      </c>
      <c r="AW112" s="1045">
        <f t="shared" si="80"/>
        <v>0</v>
      </c>
      <c r="AX112" s="1044">
        <f t="shared" si="44"/>
        <v>277.8185215486011</v>
      </c>
      <c r="AY112" s="1044">
        <f t="shared" si="49"/>
        <v>15.923606710201094</v>
      </c>
      <c r="AZ112" s="1046">
        <f t="shared" si="47"/>
        <v>10.615737806800729</v>
      </c>
      <c r="BA112" s="4"/>
      <c r="BB112" s="1055">
        <f t="shared" si="81"/>
        <v>218.55820246760391</v>
      </c>
      <c r="BC112" s="1056">
        <f t="shared" si="82"/>
        <v>112.8505921296566</v>
      </c>
      <c r="BD112" s="1082">
        <f t="shared" si="90"/>
        <v>10.615737806800729</v>
      </c>
      <c r="BE112" s="1056">
        <f t="shared" si="54"/>
        <v>342.02453240406123</v>
      </c>
      <c r="BF112" s="167">
        <v>0</v>
      </c>
      <c r="BG112" s="1075">
        <f t="shared" si="83"/>
        <v>342.02453240406123</v>
      </c>
      <c r="BI112" s="1055">
        <f t="shared" si="84"/>
        <v>218.55820246760391</v>
      </c>
      <c r="BJ112" s="1056">
        <f t="shared" si="85"/>
        <v>112.8505921296566</v>
      </c>
      <c r="BK112" s="1082">
        <f t="shared" si="86"/>
        <v>10.615737806800729</v>
      </c>
      <c r="BL112" s="1056">
        <f t="shared" si="55"/>
        <v>342.02453240406123</v>
      </c>
      <c r="BM112" s="167">
        <v>0</v>
      </c>
      <c r="BN112" s="1075">
        <f t="shared" si="87"/>
        <v>342.02453240406123</v>
      </c>
    </row>
    <row r="113" spans="1:66">
      <c r="A113" s="927">
        <f>'Input data'!A143</f>
        <v>2043</v>
      </c>
      <c r="B113" s="824">
        <f>'Input data'!B143</f>
        <v>72.713999999999999</v>
      </c>
      <c r="C113" s="824">
        <f>'Recycling - Case 2'!AK123/B113</f>
        <v>270.67819898943884</v>
      </c>
      <c r="D113" s="825">
        <f>'Recycling - Case 2'!AM123</f>
        <v>0.11324040428219664</v>
      </c>
      <c r="E113" s="826">
        <f>'Recycling - Case 2'!BE123</f>
        <v>0.218835707932068</v>
      </c>
      <c r="F113" s="826">
        <f>'Recycling - Case 2'!BF123</f>
        <v>0.27754288072934236</v>
      </c>
      <c r="G113" s="826">
        <f>'Recycling - Case 2'!BG123</f>
        <v>5.3628060742115964E-2</v>
      </c>
      <c r="H113" s="826">
        <f>'Recycling - Case 2'!BH123</f>
        <v>0</v>
      </c>
      <c r="I113" s="826">
        <f>'Recycling - Case 2'!BI123</f>
        <v>0</v>
      </c>
      <c r="J113" s="826">
        <f>'Recycling - Case 2'!BJ123</f>
        <v>0</v>
      </c>
      <c r="K113" s="826">
        <f>'Recycling - Case 2'!BK123</f>
        <v>0.44999335059647372</v>
      </c>
      <c r="L113" s="827">
        <f t="shared" si="89"/>
        <v>1</v>
      </c>
      <c r="M113" s="4"/>
      <c r="N113" s="838">
        <f t="shared" si="56"/>
        <v>2228.8083452440806</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0.10978515663252505</v>
      </c>
      <c r="Q113" s="832">
        <f t="shared" si="57"/>
        <v>122.34503664325018</v>
      </c>
      <c r="R113" s="832">
        <f t="shared" si="58"/>
        <v>122.34503664325018</v>
      </c>
      <c r="S113" s="835">
        <f t="shared" si="59"/>
        <v>0</v>
      </c>
      <c r="T113" s="832">
        <f t="shared" si="60"/>
        <v>6320.9261280355413</v>
      </c>
      <c r="U113" s="832">
        <f t="shared" si="61"/>
        <v>317.80804853137442</v>
      </c>
      <c r="V113" s="839">
        <f t="shared" si="62"/>
        <v>211.87203235424963</v>
      </c>
      <c r="W113" s="4"/>
      <c r="X113" s="852">
        <f>'Recycling - Case 2'!AM163</f>
        <v>173.1665722403344</v>
      </c>
      <c r="Y113" s="853">
        <f>Parameters!S248</f>
        <v>0.71500000000000008</v>
      </c>
      <c r="Z113" s="853">
        <f t="shared" si="63"/>
        <v>0.4</v>
      </c>
      <c r="AA113" s="854">
        <f t="shared" si="64"/>
        <v>24.762819830367825</v>
      </c>
      <c r="AB113" s="854">
        <f t="shared" si="65"/>
        <v>24.762819830367825</v>
      </c>
      <c r="AC113" s="855">
        <f t="shared" si="66"/>
        <v>0</v>
      </c>
      <c r="AD113" s="854">
        <f t="shared" si="67"/>
        <v>3183.3709278361098</v>
      </c>
      <c r="AE113" s="854">
        <f t="shared" si="68"/>
        <v>161.94530071965332</v>
      </c>
      <c r="AF113" s="856">
        <f t="shared" si="69"/>
        <v>107.96353381310222</v>
      </c>
      <c r="AG113" s="4"/>
      <c r="AH113" s="852">
        <f>'Recycling - Case 2'!AM203</f>
        <v>173.1665722403344</v>
      </c>
      <c r="AI113" s="853">
        <f>Parameters!S248</f>
        <v>0.71500000000000008</v>
      </c>
      <c r="AJ113" s="853">
        <f t="shared" si="70"/>
        <v>0.4</v>
      </c>
      <c r="AK113" s="854">
        <f t="shared" si="71"/>
        <v>24.762819830367825</v>
      </c>
      <c r="AL113" s="854">
        <f t="shared" si="72"/>
        <v>24.762819830367825</v>
      </c>
      <c r="AM113" s="855">
        <f t="shared" si="73"/>
        <v>0</v>
      </c>
      <c r="AN113" s="854">
        <f t="shared" si="74"/>
        <v>3183.3709278361098</v>
      </c>
      <c r="AO113" s="854">
        <f t="shared" si="75"/>
        <v>161.94530071965332</v>
      </c>
      <c r="AP113" s="856">
        <f t="shared" si="76"/>
        <v>107.96353381310222</v>
      </c>
      <c r="AQ113" s="4"/>
      <c r="AR113" s="1042">
        <f>'Recycling - Case 2'!G123</f>
        <v>817.33761826300088</v>
      </c>
      <c r="AS113" s="1043">
        <v>1</v>
      </c>
      <c r="AT113" s="1043">
        <f t="shared" si="77"/>
        <v>0.05</v>
      </c>
      <c r="AU113" s="1044">
        <f t="shared" si="78"/>
        <v>20.433440456575024</v>
      </c>
      <c r="AV113" s="1044">
        <f t="shared" si="79"/>
        <v>20.433440456575024</v>
      </c>
      <c r="AW113" s="1045">
        <f t="shared" si="80"/>
        <v>0</v>
      </c>
      <c r="AX113" s="1044">
        <f t="shared" si="44"/>
        <v>282.07307082385887</v>
      </c>
      <c r="AY113" s="1044">
        <f t="shared" si="49"/>
        <v>16.178891181317233</v>
      </c>
      <c r="AZ113" s="1046">
        <f t="shared" si="47"/>
        <v>10.785927454211489</v>
      </c>
      <c r="BA113" s="4"/>
      <c r="BB113" s="1055">
        <f t="shared" si="81"/>
        <v>211.87203235424963</v>
      </c>
      <c r="BC113" s="1056">
        <f t="shared" si="82"/>
        <v>107.96353381310222</v>
      </c>
      <c r="BD113" s="1082">
        <f t="shared" si="90"/>
        <v>10.785927454211489</v>
      </c>
      <c r="BE113" s="1056">
        <f t="shared" si="54"/>
        <v>330.62149362156333</v>
      </c>
      <c r="BF113" s="167">
        <v>0</v>
      </c>
      <c r="BG113" s="1075">
        <f t="shared" si="83"/>
        <v>330.62149362156333</v>
      </c>
      <c r="BI113" s="1055">
        <f t="shared" si="84"/>
        <v>211.87203235424963</v>
      </c>
      <c r="BJ113" s="1056">
        <f t="shared" si="85"/>
        <v>107.96353381310222</v>
      </c>
      <c r="BK113" s="1082">
        <f t="shared" si="86"/>
        <v>10.785927454211489</v>
      </c>
      <c r="BL113" s="1056">
        <f t="shared" si="55"/>
        <v>330.62149362156333</v>
      </c>
      <c r="BM113" s="167">
        <v>0</v>
      </c>
      <c r="BN113" s="1075">
        <f t="shared" si="87"/>
        <v>330.62149362156333</v>
      </c>
    </row>
    <row r="114" spans="1:66">
      <c r="A114" s="927">
        <f>'Input data'!A144</f>
        <v>2044</v>
      </c>
      <c r="B114" s="824">
        <f>'Input data'!B144</f>
        <v>73.165000000000006</v>
      </c>
      <c r="C114" s="824">
        <f>'Recycling - Case 2'!AK124/B114</f>
        <v>269.84681013022708</v>
      </c>
      <c r="D114" s="825">
        <f>'Recycling - Case 2'!AM124</f>
        <v>0.11288911272923233</v>
      </c>
      <c r="E114" s="826">
        <f>'Recycling - Case 2'!BE124</f>
        <v>0.21926676820857491</v>
      </c>
      <c r="F114" s="826">
        <f>'Recycling - Case 2'!BF124</f>
        <v>0.27808958177754095</v>
      </c>
      <c r="G114" s="826">
        <f>'Recycling - Case 2'!BG124</f>
        <v>5.3523943954123882E-2</v>
      </c>
      <c r="H114" s="826">
        <f>'Recycling - Case 2'!BH124</f>
        <v>0</v>
      </c>
      <c r="I114" s="826">
        <f>'Recycling - Case 2'!BI124</f>
        <v>0</v>
      </c>
      <c r="J114" s="826">
        <f>'Recycling - Case 2'!BJ124</f>
        <v>0</v>
      </c>
      <c r="K114" s="826">
        <f>'Recycling - Case 2'!BK124</f>
        <v>0.44911970605976026</v>
      </c>
      <c r="L114" s="827">
        <f t="shared" si="89"/>
        <v>1</v>
      </c>
      <c r="M114" s="4"/>
      <c r="N114" s="838">
        <f t="shared" si="56"/>
        <v>2228.8083452440806</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0.10991750916844398</v>
      </c>
      <c r="Q114" s="832">
        <f t="shared" si="57"/>
        <v>122.49253086153534</v>
      </c>
      <c r="R114" s="832">
        <f t="shared" si="58"/>
        <v>122.49253086153534</v>
      </c>
      <c r="S114" s="835">
        <f t="shared" si="59"/>
        <v>0</v>
      </c>
      <c r="T114" s="832">
        <f t="shared" si="60"/>
        <v>6135.1434539443098</v>
      </c>
      <c r="U114" s="832">
        <f t="shared" si="61"/>
        <v>308.27520495276679</v>
      </c>
      <c r="V114" s="839">
        <f t="shared" si="62"/>
        <v>205.51680330184453</v>
      </c>
      <c r="W114" s="4"/>
      <c r="X114" s="852">
        <f>'Recycling - Case 2'!AM164</f>
        <v>214.59705673375294</v>
      </c>
      <c r="Y114" s="853">
        <f>Parameters!S249</f>
        <v>0.71500000000000008</v>
      </c>
      <c r="Z114" s="853">
        <f t="shared" si="63"/>
        <v>0.4</v>
      </c>
      <c r="AA114" s="854">
        <f t="shared" si="64"/>
        <v>30.687379112926678</v>
      </c>
      <c r="AB114" s="854">
        <f t="shared" si="65"/>
        <v>30.687379112926678</v>
      </c>
      <c r="AC114" s="855">
        <f t="shared" si="66"/>
        <v>0</v>
      </c>
      <c r="AD114" s="854">
        <f t="shared" si="67"/>
        <v>3058.8034747707734</v>
      </c>
      <c r="AE114" s="854">
        <f t="shared" si="68"/>
        <v>155.25483217826306</v>
      </c>
      <c r="AF114" s="856">
        <f t="shared" si="69"/>
        <v>103.50322145217537</v>
      </c>
      <c r="AG114" s="4"/>
      <c r="AH114" s="852">
        <f>'Recycling - Case 2'!AM204</f>
        <v>214.59705673375294</v>
      </c>
      <c r="AI114" s="853">
        <f>Parameters!S249</f>
        <v>0.71500000000000008</v>
      </c>
      <c r="AJ114" s="853">
        <f t="shared" si="70"/>
        <v>0.4</v>
      </c>
      <c r="AK114" s="854">
        <f t="shared" si="71"/>
        <v>30.687379112926678</v>
      </c>
      <c r="AL114" s="854">
        <f t="shared" si="72"/>
        <v>30.687379112926678</v>
      </c>
      <c r="AM114" s="855">
        <f t="shared" si="73"/>
        <v>0</v>
      </c>
      <c r="AN114" s="854">
        <f t="shared" si="74"/>
        <v>3058.8034747707734</v>
      </c>
      <c r="AO114" s="854">
        <f t="shared" si="75"/>
        <v>155.25483217826306</v>
      </c>
      <c r="AP114" s="856">
        <f t="shared" si="76"/>
        <v>103.50322145217537</v>
      </c>
      <c r="AQ114" s="4"/>
      <c r="AR114" s="1042">
        <f>'Recycling - Case 2'!G124</f>
        <v>822.4070583410687</v>
      </c>
      <c r="AS114" s="1043">
        <v>1</v>
      </c>
      <c r="AT114" s="1043">
        <f t="shared" si="77"/>
        <v>0.05</v>
      </c>
      <c r="AU114" s="1044">
        <f t="shared" si="78"/>
        <v>20.560176458526719</v>
      </c>
      <c r="AV114" s="1044">
        <f t="shared" si="79"/>
        <v>20.560176458526719</v>
      </c>
      <c r="AW114" s="1045">
        <f t="shared" si="80"/>
        <v>0</v>
      </c>
      <c r="AX114" s="1044">
        <f t="shared" ref="AX114:AX120" si="91">AV114+(AX113*$E$8)</f>
        <v>286.20659043963491</v>
      </c>
      <c r="AY114" s="1044">
        <f t="shared" si="49"/>
        <v>16.426656842750667</v>
      </c>
      <c r="AZ114" s="1046">
        <f t="shared" si="47"/>
        <v>10.951104561833779</v>
      </c>
      <c r="BA114" s="4"/>
      <c r="BB114" s="1055">
        <f t="shared" si="81"/>
        <v>205.51680330184453</v>
      </c>
      <c r="BC114" s="1056">
        <f t="shared" si="82"/>
        <v>103.50322145217537</v>
      </c>
      <c r="BD114" s="1082">
        <f t="shared" si="90"/>
        <v>10.951104561833779</v>
      </c>
      <c r="BE114" s="1056">
        <f t="shared" si="54"/>
        <v>319.97112931585372</v>
      </c>
      <c r="BF114" s="167">
        <v>0</v>
      </c>
      <c r="BG114" s="1075">
        <f t="shared" si="83"/>
        <v>319.97112931585372</v>
      </c>
      <c r="BI114" s="1055">
        <f t="shared" si="84"/>
        <v>205.51680330184453</v>
      </c>
      <c r="BJ114" s="1056">
        <f t="shared" si="85"/>
        <v>103.50322145217537</v>
      </c>
      <c r="BK114" s="1082">
        <f t="shared" si="86"/>
        <v>10.951104561833779</v>
      </c>
      <c r="BL114" s="1056">
        <f t="shared" si="55"/>
        <v>319.97112931585372</v>
      </c>
      <c r="BM114" s="167">
        <v>0</v>
      </c>
      <c r="BN114" s="1075">
        <f t="shared" si="87"/>
        <v>319.97112931585372</v>
      </c>
    </row>
    <row r="115" spans="1:66">
      <c r="A115" s="927">
        <f>'Input data'!A145</f>
        <v>2045</v>
      </c>
      <c r="B115" s="824">
        <f>'Input data'!B145</f>
        <v>73.62</v>
      </c>
      <c r="C115" s="824">
        <f>'Recycling - Case 2'!AK125/B115</f>
        <v>269.01874251575049</v>
      </c>
      <c r="D115" s="825">
        <f>'Recycling - Case 2'!AM125</f>
        <v>0.11253675128347733</v>
      </c>
      <c r="E115" s="826">
        <f>'Recycling - Case 2'!BE125</f>
        <v>0.21969463810444262</v>
      </c>
      <c r="F115" s="826">
        <f>'Recycling - Case 2'!BF125</f>
        <v>0.27863223655997388</v>
      </c>
      <c r="G115" s="826">
        <f>'Recycling - Case 2'!BG125</f>
        <v>5.3420597759486765E-2</v>
      </c>
      <c r="H115" s="826">
        <f>'Recycling - Case 2'!BH125</f>
        <v>0</v>
      </c>
      <c r="I115" s="826">
        <f>'Recycling - Case 2'!BI125</f>
        <v>0</v>
      </c>
      <c r="J115" s="826">
        <f>'Recycling - Case 2'!BJ125</f>
        <v>0</v>
      </c>
      <c r="K115" s="826">
        <f>'Recycling - Case 2'!BK125</f>
        <v>0.44825252757609696</v>
      </c>
      <c r="L115" s="827">
        <f t="shared" si="89"/>
        <v>1.0000000000000002</v>
      </c>
      <c r="M115" s="4"/>
      <c r="N115" s="838">
        <f t="shared" si="56"/>
        <v>2228.8083452440806</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0.11004888213145587</v>
      </c>
      <c r="Q115" s="832">
        <f t="shared" si="57"/>
        <v>122.63893343968552</v>
      </c>
      <c r="R115" s="832">
        <f t="shared" si="58"/>
        <v>122.63893343968552</v>
      </c>
      <c r="S115" s="835">
        <f t="shared" si="59"/>
        <v>0</v>
      </c>
      <c r="T115" s="832">
        <f t="shared" si="60"/>
        <v>5958.5679103644543</v>
      </c>
      <c r="U115" s="832">
        <f t="shared" si="61"/>
        <v>299.21447701954116</v>
      </c>
      <c r="V115" s="839">
        <f t="shared" si="62"/>
        <v>199.47631801302745</v>
      </c>
      <c r="W115" s="4"/>
      <c r="X115" s="852">
        <f>'Recycling - Case 2'!AM165</f>
        <v>256.95833153497551</v>
      </c>
      <c r="Y115" s="853">
        <f>Parameters!S250</f>
        <v>0.71500000000000008</v>
      </c>
      <c r="Z115" s="853">
        <f t="shared" si="63"/>
        <v>0.4</v>
      </c>
      <c r="AA115" s="854">
        <f t="shared" si="64"/>
        <v>36.745041409501503</v>
      </c>
      <c r="AB115" s="854">
        <f t="shared" si="65"/>
        <v>36.745041409501503</v>
      </c>
      <c r="AC115" s="855">
        <f t="shared" si="66"/>
        <v>0</v>
      </c>
      <c r="AD115" s="854">
        <f t="shared" si="67"/>
        <v>2946.3689103764887</v>
      </c>
      <c r="AE115" s="854">
        <f t="shared" si="68"/>
        <v>149.1796058037863</v>
      </c>
      <c r="AF115" s="856">
        <f t="shared" si="69"/>
        <v>99.453070535857535</v>
      </c>
      <c r="AG115" s="4"/>
      <c r="AH115" s="852">
        <f>'Recycling - Case 2'!AM205</f>
        <v>256.95833153497551</v>
      </c>
      <c r="AI115" s="853">
        <f>Parameters!S250</f>
        <v>0.71500000000000008</v>
      </c>
      <c r="AJ115" s="853">
        <f t="shared" si="70"/>
        <v>0.4</v>
      </c>
      <c r="AK115" s="854">
        <f t="shared" si="71"/>
        <v>36.745041409501503</v>
      </c>
      <c r="AL115" s="854">
        <f t="shared" si="72"/>
        <v>36.745041409501503</v>
      </c>
      <c r="AM115" s="855">
        <f t="shared" si="73"/>
        <v>0</v>
      </c>
      <c r="AN115" s="854">
        <f t="shared" si="74"/>
        <v>2946.3689103764887</v>
      </c>
      <c r="AO115" s="854">
        <f t="shared" si="75"/>
        <v>149.1796058037863</v>
      </c>
      <c r="AP115" s="856">
        <f t="shared" si="76"/>
        <v>99.453070535857535</v>
      </c>
      <c r="AQ115" s="4"/>
      <c r="AR115" s="1042">
        <f>'Recycling - Case 2'!G125</f>
        <v>827.52146019366455</v>
      </c>
      <c r="AS115" s="1043">
        <v>1</v>
      </c>
      <c r="AT115" s="1043">
        <f t="shared" si="77"/>
        <v>0.05</v>
      </c>
      <c r="AU115" s="1044">
        <f t="shared" si="78"/>
        <v>20.688036504841616</v>
      </c>
      <c r="AV115" s="1044">
        <f t="shared" si="79"/>
        <v>20.688036504841616</v>
      </c>
      <c r="AW115" s="1045">
        <f t="shared" si="80"/>
        <v>0</v>
      </c>
      <c r="AX115" s="1044">
        <f t="shared" si="91"/>
        <v>290.22725265896247</v>
      </c>
      <c r="AY115" s="1044">
        <f t="shared" si="49"/>
        <v>16.66737428551404</v>
      </c>
      <c r="AZ115" s="1046">
        <f t="shared" si="47"/>
        <v>11.11158285700936</v>
      </c>
      <c r="BA115" s="4"/>
      <c r="BB115" s="1055">
        <f t="shared" si="81"/>
        <v>199.47631801302745</v>
      </c>
      <c r="BC115" s="1056">
        <f t="shared" si="82"/>
        <v>99.453070535857535</v>
      </c>
      <c r="BD115" s="1082">
        <f t="shared" si="90"/>
        <v>11.11158285700936</v>
      </c>
      <c r="BE115" s="1056">
        <f t="shared" si="54"/>
        <v>310.04097140589431</v>
      </c>
      <c r="BF115" s="167">
        <v>0</v>
      </c>
      <c r="BG115" s="1075">
        <f t="shared" si="83"/>
        <v>310.04097140589431</v>
      </c>
      <c r="BI115" s="1055">
        <f t="shared" si="84"/>
        <v>199.47631801302745</v>
      </c>
      <c r="BJ115" s="1056">
        <f t="shared" si="85"/>
        <v>99.453070535857535</v>
      </c>
      <c r="BK115" s="1082">
        <f t="shared" si="86"/>
        <v>11.11158285700936</v>
      </c>
      <c r="BL115" s="1056">
        <f t="shared" si="55"/>
        <v>310.04097140589431</v>
      </c>
      <c r="BM115" s="167">
        <v>0</v>
      </c>
      <c r="BN115" s="1075">
        <f t="shared" si="87"/>
        <v>310.04097140589431</v>
      </c>
    </row>
    <row r="116" spans="1:66">
      <c r="A116" s="927">
        <f>'Input data'!A146</f>
        <v>2046</v>
      </c>
      <c r="B116" s="824">
        <f>'Input data'!B146</f>
        <v>73.995000000000005</v>
      </c>
      <c r="C116" s="824">
        <f>'Recycling - Case 2'!AK126/B116</f>
        <v>268.34419820240032</v>
      </c>
      <c r="D116" s="825">
        <f>'Recycling - Case 2'!AM126</f>
        <v>0.11224787829022306</v>
      </c>
      <c r="E116" s="826">
        <f>'Recycling - Case 2'!BE126</f>
        <v>0.22004210258441578</v>
      </c>
      <c r="F116" s="826">
        <f>'Recycling - Case 2'!BF126</f>
        <v>0.2790729155224439</v>
      </c>
      <c r="G116" s="826">
        <f>'Recycling - Case 2'!BG126</f>
        <v>5.3336672407122365E-2</v>
      </c>
      <c r="H116" s="826">
        <f>'Recycling - Case 2'!BH126</f>
        <v>0</v>
      </c>
      <c r="I116" s="826">
        <f>'Recycling - Case 2'!BI126</f>
        <v>0</v>
      </c>
      <c r="J116" s="826">
        <f>'Recycling - Case 2'!BJ126</f>
        <v>0</v>
      </c>
      <c r="K116" s="826">
        <f>'Recycling - Case 2'!BK126</f>
        <v>0.44754830948601804</v>
      </c>
      <c r="L116" s="827">
        <f t="shared" si="89"/>
        <v>1</v>
      </c>
      <c r="M116" s="4"/>
      <c r="N116" s="838">
        <f t="shared" si="56"/>
        <v>2228.8083452440806</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0.1101555674550001</v>
      </c>
      <c r="Q116" s="832">
        <f t="shared" si="57"/>
        <v>122.75782400940074</v>
      </c>
      <c r="R116" s="832">
        <f t="shared" si="58"/>
        <v>122.75782400940074</v>
      </c>
      <c r="S116" s="835">
        <f t="shared" si="59"/>
        <v>0</v>
      </c>
      <c r="T116" s="832">
        <f>R116+(T115*$C$8)</f>
        <v>5790.7229482338025</v>
      </c>
      <c r="U116" s="832">
        <f t="shared" si="61"/>
        <v>290.60278614005233</v>
      </c>
      <c r="V116" s="839">
        <f t="shared" si="62"/>
        <v>193.7351907600349</v>
      </c>
      <c r="W116" s="4"/>
      <c r="X116" s="852">
        <f>'Recycling - Case 2'!AM166</f>
        <v>300.1963968535166</v>
      </c>
      <c r="Y116" s="853">
        <f>Parameters!S251</f>
        <v>0.71500000000000008</v>
      </c>
      <c r="Z116" s="853">
        <f t="shared" si="63"/>
        <v>0.4</v>
      </c>
      <c r="AA116" s="854">
        <f t="shared" si="64"/>
        <v>42.928084750052882</v>
      </c>
      <c r="AB116" s="854">
        <f t="shared" si="65"/>
        <v>42.928084750052882</v>
      </c>
      <c r="AC116" s="855">
        <f t="shared" si="66"/>
        <v>0</v>
      </c>
      <c r="AD116" s="854">
        <f t="shared" si="67"/>
        <v>2845.6008877342756</v>
      </c>
      <c r="AE116" s="854">
        <f t="shared" si="68"/>
        <v>143.69610739226553</v>
      </c>
      <c r="AF116" s="856">
        <f t="shared" si="69"/>
        <v>95.797404928177016</v>
      </c>
      <c r="AG116" s="4"/>
      <c r="AH116" s="852">
        <f>'Recycling - Case 2'!AM206</f>
        <v>300.1963968535166</v>
      </c>
      <c r="AI116" s="853">
        <f>Parameters!S251</f>
        <v>0.71500000000000008</v>
      </c>
      <c r="AJ116" s="853">
        <f t="shared" si="70"/>
        <v>0.4</v>
      </c>
      <c r="AK116" s="854">
        <f t="shared" si="71"/>
        <v>42.928084750052882</v>
      </c>
      <c r="AL116" s="854">
        <f t="shared" si="72"/>
        <v>42.928084750052882</v>
      </c>
      <c r="AM116" s="855">
        <f t="shared" si="73"/>
        <v>0</v>
      </c>
      <c r="AN116" s="854">
        <f t="shared" si="74"/>
        <v>2845.6008877342756</v>
      </c>
      <c r="AO116" s="854">
        <f t="shared" si="75"/>
        <v>143.69610739226553</v>
      </c>
      <c r="AP116" s="856">
        <f t="shared" si="76"/>
        <v>95.797404928177016</v>
      </c>
      <c r="AQ116" s="4"/>
      <c r="AR116" s="1042">
        <f>'Recycling - Case 2'!G126</f>
        <v>831.73662655569433</v>
      </c>
      <c r="AS116" s="1043">
        <v>1</v>
      </c>
      <c r="AT116" s="1043">
        <f t="shared" si="77"/>
        <v>0.05</v>
      </c>
      <c r="AU116" s="1044">
        <f t="shared" si="78"/>
        <v>20.793415663892361</v>
      </c>
      <c r="AV116" s="1044">
        <f t="shared" si="79"/>
        <v>20.793415663892361</v>
      </c>
      <c r="AW116" s="1045">
        <f t="shared" si="80"/>
        <v>0</v>
      </c>
      <c r="AX116" s="1044">
        <f t="shared" si="91"/>
        <v>294.11914889769804</v>
      </c>
      <c r="AY116" s="1044">
        <f t="shared" si="49"/>
        <v>16.901519425156771</v>
      </c>
      <c r="AZ116" s="1046">
        <f t="shared" si="47"/>
        <v>11.267679616771181</v>
      </c>
      <c r="BA116" s="4"/>
      <c r="BB116" s="1055">
        <f t="shared" si="81"/>
        <v>193.7351907600349</v>
      </c>
      <c r="BC116" s="1056">
        <f t="shared" si="82"/>
        <v>95.797404928177016</v>
      </c>
      <c r="BD116" s="1082">
        <f t="shared" si="90"/>
        <v>11.267679616771181</v>
      </c>
      <c r="BE116" s="1056">
        <f t="shared" si="54"/>
        <v>300.80027530498313</v>
      </c>
      <c r="BF116" s="167">
        <v>0</v>
      </c>
      <c r="BG116" s="1075">
        <f t="shared" si="83"/>
        <v>300.80027530498313</v>
      </c>
      <c r="BI116" s="1055">
        <f t="shared" si="84"/>
        <v>193.7351907600349</v>
      </c>
      <c r="BJ116" s="1056">
        <f t="shared" si="85"/>
        <v>95.797404928177016</v>
      </c>
      <c r="BK116" s="1082">
        <f t="shared" si="86"/>
        <v>11.267679616771181</v>
      </c>
      <c r="BL116" s="1056">
        <f t="shared" si="55"/>
        <v>300.80027530498313</v>
      </c>
      <c r="BM116" s="167">
        <v>0</v>
      </c>
      <c r="BN116" s="1075">
        <f t="shared" si="87"/>
        <v>300.80027530498313</v>
      </c>
    </row>
    <row r="117" spans="1:66">
      <c r="A117" s="927">
        <f>'Input data'!A147</f>
        <v>2047</v>
      </c>
      <c r="B117" s="824">
        <f>'Input data'!B147</f>
        <v>74.373000000000005</v>
      </c>
      <c r="C117" s="824">
        <f>'Recycling - Case 2'!AK127/B117</f>
        <v>267.67138543810051</v>
      </c>
      <c r="D117" s="825">
        <f>'Recycling - Case 2'!AM127</f>
        <v>0.1119580893602294</v>
      </c>
      <c r="E117" s="826">
        <f>'Recycling - Case 2'!BE127</f>
        <v>0.22038771424144413</v>
      </c>
      <c r="F117" s="826">
        <f>'Recycling - Case 2'!BF127</f>
        <v>0.27951124460416327</v>
      </c>
      <c r="G117" s="826">
        <f>'Recycling - Case 2'!BG127</f>
        <v>5.3253194579116508E-2</v>
      </c>
      <c r="H117" s="826">
        <f>'Recycling - Case 2'!BH127</f>
        <v>0</v>
      </c>
      <c r="I117" s="826">
        <f>'Recycling - Case 2'!BI127</f>
        <v>0</v>
      </c>
      <c r="J117" s="826">
        <f>'Recycling - Case 2'!BJ127</f>
        <v>0</v>
      </c>
      <c r="K117" s="826">
        <f>'Recycling - Case 2'!BK127</f>
        <v>0.4468478465752761</v>
      </c>
      <c r="L117" s="827">
        <f t="shared" si="89"/>
        <v>1</v>
      </c>
      <c r="M117" s="4"/>
      <c r="N117" s="838">
        <f t="shared" si="56"/>
        <v>2228.8083452440801</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0.11026168388869588</v>
      </c>
      <c r="Q117" s="832">
        <f t="shared" si="57"/>
        <v>122.87608060589505</v>
      </c>
      <c r="R117" s="832">
        <f t="shared" si="58"/>
        <v>122.87608060589505</v>
      </c>
      <c r="S117" s="835">
        <f t="shared" si="59"/>
        <v>0</v>
      </c>
      <c r="T117" s="832">
        <f t="shared" ref="T117:T120" si="92">R117+(T116*$C$8)</f>
        <v>5631.1821380974134</v>
      </c>
      <c r="U117" s="832">
        <f t="shared" si="61"/>
        <v>282.41689074228458</v>
      </c>
      <c r="V117" s="839">
        <f t="shared" si="62"/>
        <v>188.27792716152305</v>
      </c>
      <c r="W117" s="4"/>
      <c r="X117" s="852">
        <f>'Recycling - Case 2'!AM167</f>
        <v>344.27650016464906</v>
      </c>
      <c r="Y117" s="853">
        <f>Parameters!S252</f>
        <v>0.71500000000000008</v>
      </c>
      <c r="Z117" s="853">
        <f t="shared" si="63"/>
        <v>0.4</v>
      </c>
      <c r="AA117" s="854">
        <f t="shared" si="64"/>
        <v>49.231539523544825</v>
      </c>
      <c r="AB117" s="854">
        <f t="shared" si="65"/>
        <v>49.231539523544825</v>
      </c>
      <c r="AC117" s="855">
        <f t="shared" si="66"/>
        <v>0</v>
      </c>
      <c r="AD117" s="854">
        <f t="shared" si="67"/>
        <v>2756.0508343217407</v>
      </c>
      <c r="AE117" s="854">
        <f t="shared" si="68"/>
        <v>138.7815929360797</v>
      </c>
      <c r="AF117" s="856">
        <f t="shared" si="69"/>
        <v>92.521061957386465</v>
      </c>
      <c r="AG117" s="4"/>
      <c r="AH117" s="852">
        <f>'Recycling - Case 2'!AM207</f>
        <v>344.27650016464906</v>
      </c>
      <c r="AI117" s="853">
        <f>Parameters!S252</f>
        <v>0.71500000000000008</v>
      </c>
      <c r="AJ117" s="853">
        <f t="shared" si="70"/>
        <v>0.4</v>
      </c>
      <c r="AK117" s="854">
        <f t="shared" si="71"/>
        <v>49.231539523544825</v>
      </c>
      <c r="AL117" s="854">
        <f t="shared" si="72"/>
        <v>49.231539523544825</v>
      </c>
      <c r="AM117" s="855">
        <f t="shared" si="73"/>
        <v>0</v>
      </c>
      <c r="AN117" s="854">
        <f t="shared" si="74"/>
        <v>2756.0508343217407</v>
      </c>
      <c r="AO117" s="854">
        <f t="shared" si="75"/>
        <v>138.7815929360797</v>
      </c>
      <c r="AP117" s="856">
        <f t="shared" si="76"/>
        <v>92.521061957386465</v>
      </c>
      <c r="AQ117" s="4"/>
      <c r="AR117" s="1042">
        <f>'Recycling - Case 2'!G127</f>
        <v>835.98551424862012</v>
      </c>
      <c r="AS117" s="1043">
        <v>1</v>
      </c>
      <c r="AT117" s="1043">
        <f t="shared" si="77"/>
        <v>0.05</v>
      </c>
      <c r="AU117" s="1044">
        <f t="shared" si="78"/>
        <v>20.899637856215506</v>
      </c>
      <c r="AV117" s="1044">
        <f t="shared" si="79"/>
        <v>20.899637856215506</v>
      </c>
      <c r="AW117" s="1045">
        <f t="shared" si="80"/>
        <v>0</v>
      </c>
      <c r="AX117" s="1044">
        <f t="shared" si="91"/>
        <v>297.8906209360523</v>
      </c>
      <c r="AY117" s="1044">
        <f t="shared" si="49"/>
        <v>17.128165817861245</v>
      </c>
      <c r="AZ117" s="1046">
        <f t="shared" si="47"/>
        <v>11.418777211907496</v>
      </c>
      <c r="BA117" s="4"/>
      <c r="BB117" s="1055">
        <f t="shared" si="81"/>
        <v>188.27792716152305</v>
      </c>
      <c r="BC117" s="1056">
        <f t="shared" si="82"/>
        <v>92.521061957386465</v>
      </c>
      <c r="BD117" s="1082">
        <f t="shared" si="90"/>
        <v>11.418777211907496</v>
      </c>
      <c r="BE117" s="1056">
        <f t="shared" si="54"/>
        <v>292.21776633081697</v>
      </c>
      <c r="BF117" s="167">
        <v>0</v>
      </c>
      <c r="BG117" s="1075">
        <f t="shared" si="83"/>
        <v>292.21776633081697</v>
      </c>
      <c r="BI117" s="1055">
        <f t="shared" si="84"/>
        <v>188.27792716152305</v>
      </c>
      <c r="BJ117" s="1056">
        <f t="shared" si="85"/>
        <v>92.521061957386465</v>
      </c>
      <c r="BK117" s="1082">
        <f t="shared" si="86"/>
        <v>11.418777211907496</v>
      </c>
      <c r="BL117" s="1056">
        <f t="shared" si="55"/>
        <v>292.21776633081697</v>
      </c>
      <c r="BM117" s="167">
        <v>0</v>
      </c>
      <c r="BN117" s="1075">
        <f t="shared" si="87"/>
        <v>292.21776633081697</v>
      </c>
    </row>
    <row r="118" spans="1:66">
      <c r="A118" s="927">
        <f>'Input data'!A148</f>
        <v>2048</v>
      </c>
      <c r="B118" s="824">
        <f>'Input data'!B148</f>
        <v>74.753</v>
      </c>
      <c r="C118" s="824">
        <f>'Recycling - Case 2'!AK128/B118</f>
        <v>267.00211183664806</v>
      </c>
      <c r="D118" s="825">
        <f>'Recycling - Case 2'!AM128</f>
        <v>0.11166817082749433</v>
      </c>
      <c r="E118" s="826">
        <f>'Recycling - Case 2'!BE128</f>
        <v>0.22073055923719342</v>
      </c>
      <c r="F118" s="826">
        <f>'Recycling - Case 2'!BF128</f>
        <v>0.27994606481089784</v>
      </c>
      <c r="G118" s="826">
        <f>'Recycling - Case 2'!BG128</f>
        <v>5.3170385000776733E-2</v>
      </c>
      <c r="H118" s="826">
        <f>'Recycling - Case 2'!BH128</f>
        <v>0</v>
      </c>
      <c r="I118" s="826">
        <f>'Recycling - Case 2'!BI128</f>
        <v>0</v>
      </c>
      <c r="J118" s="826">
        <f>'Recycling - Case 2'!BJ128</f>
        <v>0</v>
      </c>
      <c r="K118" s="826">
        <f>'Recycling - Case 2'!BK128</f>
        <v>0.44615299095113192</v>
      </c>
      <c r="L118" s="827">
        <f t="shared" si="89"/>
        <v>1</v>
      </c>
      <c r="M118" s="4"/>
      <c r="N118" s="838">
        <f t="shared" si="56"/>
        <v>2228.8083452440806</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0.11036695084806927</v>
      </c>
      <c r="Q118" s="832">
        <f t="shared" si="57"/>
        <v>122.99339054466003</v>
      </c>
      <c r="R118" s="832">
        <f t="shared" si="58"/>
        <v>122.99339054466003</v>
      </c>
      <c r="S118" s="835">
        <f t="shared" si="59"/>
        <v>0</v>
      </c>
      <c r="T118" s="832">
        <f t="shared" si="92"/>
        <v>5479.5395350257622</v>
      </c>
      <c r="U118" s="832">
        <f t="shared" si="61"/>
        <v>274.6359936163106</v>
      </c>
      <c r="V118" s="839">
        <f t="shared" si="62"/>
        <v>183.09066241087373</v>
      </c>
      <c r="W118" s="4"/>
      <c r="X118" s="852">
        <f>'Recycling - Case 2'!AM168</f>
        <v>389.02766929548244</v>
      </c>
      <c r="Y118" s="853">
        <f>Parameters!S253</f>
        <v>0.71500000000000008</v>
      </c>
      <c r="Z118" s="853">
        <f t="shared" si="63"/>
        <v>0.4</v>
      </c>
      <c r="AA118" s="854">
        <f t="shared" si="64"/>
        <v>55.630956709254001</v>
      </c>
      <c r="AB118" s="854">
        <f t="shared" si="65"/>
        <v>55.630956709254001</v>
      </c>
      <c r="AC118" s="855">
        <f t="shared" si="66"/>
        <v>0</v>
      </c>
      <c r="AD118" s="854">
        <f t="shared" si="67"/>
        <v>2677.2676057358362</v>
      </c>
      <c r="AE118" s="854">
        <f t="shared" si="68"/>
        <v>134.41418529515857</v>
      </c>
      <c r="AF118" s="856">
        <f t="shared" si="69"/>
        <v>89.60945686343905</v>
      </c>
      <c r="AG118" s="4"/>
      <c r="AH118" s="852">
        <f>'Recycling - Case 2'!AM208</f>
        <v>389.02766929548244</v>
      </c>
      <c r="AI118" s="853">
        <f>Parameters!S253</f>
        <v>0.71500000000000008</v>
      </c>
      <c r="AJ118" s="853">
        <f t="shared" si="70"/>
        <v>0.4</v>
      </c>
      <c r="AK118" s="854">
        <f t="shared" si="71"/>
        <v>55.630956709254001</v>
      </c>
      <c r="AL118" s="854">
        <f t="shared" si="72"/>
        <v>55.630956709254001</v>
      </c>
      <c r="AM118" s="855">
        <f t="shared" si="73"/>
        <v>0</v>
      </c>
      <c r="AN118" s="854">
        <f t="shared" si="74"/>
        <v>2677.2676057358362</v>
      </c>
      <c r="AO118" s="854">
        <f t="shared" si="75"/>
        <v>134.41418529515857</v>
      </c>
      <c r="AP118" s="856">
        <f t="shared" si="76"/>
        <v>89.60945686343905</v>
      </c>
      <c r="AQ118" s="4"/>
      <c r="AR118" s="1042">
        <f>'Recycling - Case 2'!G128</f>
        <v>840.25688282881026</v>
      </c>
      <c r="AS118" s="1043">
        <v>1</v>
      </c>
      <c r="AT118" s="1043">
        <f t="shared" si="77"/>
        <v>0.05</v>
      </c>
      <c r="AU118" s="1044">
        <f t="shared" si="78"/>
        <v>21.006422070720259</v>
      </c>
      <c r="AV118" s="1044">
        <f t="shared" si="79"/>
        <v>21.006422070720259</v>
      </c>
      <c r="AW118" s="1045">
        <f t="shared" si="80"/>
        <v>0</v>
      </c>
      <c r="AX118" s="1044">
        <f t="shared" si="91"/>
        <v>301.54924375568379</v>
      </c>
      <c r="AY118" s="1044">
        <f t="shared" si="49"/>
        <v>17.34779925108877</v>
      </c>
      <c r="AZ118" s="1046">
        <f t="shared" si="47"/>
        <v>11.565199500725846</v>
      </c>
      <c r="BA118" s="4"/>
      <c r="BB118" s="1055">
        <f t="shared" si="81"/>
        <v>183.09066241087373</v>
      </c>
      <c r="BC118" s="1056">
        <f t="shared" si="82"/>
        <v>89.60945686343905</v>
      </c>
      <c r="BD118" s="1082">
        <f t="shared" si="90"/>
        <v>11.565199500725846</v>
      </c>
      <c r="BE118" s="1056">
        <f t="shared" si="54"/>
        <v>284.26531877503862</v>
      </c>
      <c r="BF118" s="167">
        <v>0</v>
      </c>
      <c r="BG118" s="1075">
        <f t="shared" si="83"/>
        <v>284.26531877503862</v>
      </c>
      <c r="BI118" s="1055">
        <f t="shared" si="84"/>
        <v>183.09066241087373</v>
      </c>
      <c r="BJ118" s="1056">
        <f t="shared" si="85"/>
        <v>89.60945686343905</v>
      </c>
      <c r="BK118" s="1082">
        <f t="shared" si="86"/>
        <v>11.565199500725846</v>
      </c>
      <c r="BL118" s="1056">
        <f t="shared" si="55"/>
        <v>284.26531877503862</v>
      </c>
      <c r="BM118" s="167">
        <v>0</v>
      </c>
      <c r="BN118" s="1075">
        <f t="shared" si="87"/>
        <v>284.26531877503862</v>
      </c>
    </row>
    <row r="119" spans="1:66">
      <c r="A119" s="927">
        <f>'Input data'!A149</f>
        <v>2049</v>
      </c>
      <c r="B119" s="824">
        <f>'Input data'!B149</f>
        <v>75.134</v>
      </c>
      <c r="C119" s="824">
        <f>'Recycling - Case 2'!AK129/B119</f>
        <v>266.33810977473274</v>
      </c>
      <c r="D119" s="825">
        <f>'Recycling - Case 2'!AM129</f>
        <v>0.11137889412383613</v>
      </c>
      <c r="E119" s="826">
        <f>'Recycling - Case 2'!BE129</f>
        <v>0.22106977215732077</v>
      </c>
      <c r="F119" s="826">
        <f>'Recycling - Case 2'!BF129</f>
        <v>0.28037627856313407</v>
      </c>
      <c r="G119" s="826">
        <f>'Recycling - Case 2'!BG129</f>
        <v>5.3088452701249497E-2</v>
      </c>
      <c r="H119" s="826">
        <f>'Recycling - Case 2'!BH129</f>
        <v>0</v>
      </c>
      <c r="I119" s="826">
        <f>'Recycling - Case 2'!BI129</f>
        <v>0</v>
      </c>
      <c r="J119" s="826">
        <f>'Recycling - Case 2'!BJ129</f>
        <v>0</v>
      </c>
      <c r="K119" s="826">
        <f>'Recycling - Case 2'!BK129</f>
        <v>0.44546549657829565</v>
      </c>
      <c r="L119" s="827">
        <f t="shared" si="89"/>
        <v>1</v>
      </c>
      <c r="M119" s="4"/>
      <c r="N119" s="838">
        <f t="shared" si="56"/>
        <v>2228.8083452440806</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0.11047110261672473</v>
      </c>
      <c r="Q119" s="832">
        <f t="shared" si="57"/>
        <v>123.10945771023563</v>
      </c>
      <c r="R119" s="832">
        <f t="shared" si="58"/>
        <v>123.10945771023563</v>
      </c>
      <c r="S119" s="835">
        <f t="shared" si="59"/>
        <v>0</v>
      </c>
      <c r="T119" s="832">
        <f t="shared" si="92"/>
        <v>5335.4086961417015</v>
      </c>
      <c r="U119" s="832">
        <f t="shared" si="61"/>
        <v>267.24029659429635</v>
      </c>
      <c r="V119" s="839">
        <f t="shared" si="62"/>
        <v>178.16019772953089</v>
      </c>
      <c r="W119" s="4"/>
      <c r="X119" s="852">
        <f>'Recycling - Case 2'!AM169</f>
        <v>434.54908949682107</v>
      </c>
      <c r="Y119" s="853">
        <f>Parameters!S254</f>
        <v>0.71500000000000008</v>
      </c>
      <c r="Z119" s="853">
        <f t="shared" si="63"/>
        <v>0.4</v>
      </c>
      <c r="AA119" s="854">
        <f t="shared" si="64"/>
        <v>62.140519798045418</v>
      </c>
      <c r="AB119" s="854">
        <f t="shared" si="65"/>
        <v>62.140519798045418</v>
      </c>
      <c r="AC119" s="855">
        <f t="shared" si="66"/>
        <v>0</v>
      </c>
      <c r="AD119" s="854">
        <f t="shared" si="67"/>
        <v>2608.8362436365492</v>
      </c>
      <c r="AE119" s="854">
        <f t="shared" si="68"/>
        <v>130.57188189733222</v>
      </c>
      <c r="AF119" s="856">
        <f t="shared" si="69"/>
        <v>87.047921264888146</v>
      </c>
      <c r="AG119" s="4"/>
      <c r="AH119" s="852">
        <f>'Recycling - Case 2'!AM209</f>
        <v>434.54908949682107</v>
      </c>
      <c r="AI119" s="853">
        <f>Parameters!S254</f>
        <v>0.71500000000000008</v>
      </c>
      <c r="AJ119" s="853">
        <f t="shared" si="70"/>
        <v>0.4</v>
      </c>
      <c r="AK119" s="854">
        <f t="shared" si="71"/>
        <v>62.140519798045418</v>
      </c>
      <c r="AL119" s="854">
        <f t="shared" si="72"/>
        <v>62.140519798045418</v>
      </c>
      <c r="AM119" s="855">
        <f t="shared" si="73"/>
        <v>0</v>
      </c>
      <c r="AN119" s="854">
        <f t="shared" si="74"/>
        <v>2608.8362436365492</v>
      </c>
      <c r="AO119" s="854">
        <f t="shared" si="75"/>
        <v>130.57188189733222</v>
      </c>
      <c r="AP119" s="856">
        <f t="shared" si="76"/>
        <v>87.047921264888146</v>
      </c>
      <c r="AQ119" s="4"/>
      <c r="AR119" s="1042">
        <f>'Recycling - Case 2'!G129</f>
        <v>844.5394918526323</v>
      </c>
      <c r="AS119" s="1043">
        <v>1</v>
      </c>
      <c r="AT119" s="1043">
        <f t="shared" si="77"/>
        <v>0.05</v>
      </c>
      <c r="AU119" s="1044">
        <f t="shared" si="78"/>
        <v>21.11348729631581</v>
      </c>
      <c r="AV119" s="1044">
        <f t="shared" si="79"/>
        <v>21.11348729631581</v>
      </c>
      <c r="AW119" s="1045">
        <f t="shared" si="80"/>
        <v>0</v>
      </c>
      <c r="AX119" s="1044">
        <f t="shared" si="91"/>
        <v>305.10187019457032</v>
      </c>
      <c r="AY119" s="1044">
        <f t="shared" si="49"/>
        <v>17.560860857429319</v>
      </c>
      <c r="AZ119" s="1046">
        <f t="shared" si="47"/>
        <v>11.707240571619545</v>
      </c>
      <c r="BA119" s="4"/>
      <c r="BB119" s="1055">
        <f t="shared" si="81"/>
        <v>178.16019772953089</v>
      </c>
      <c r="BC119" s="1056">
        <f t="shared" si="82"/>
        <v>87.047921264888146</v>
      </c>
      <c r="BD119" s="1082">
        <f t="shared" si="90"/>
        <v>11.707240571619545</v>
      </c>
      <c r="BE119" s="1056">
        <f t="shared" si="54"/>
        <v>276.91535956603855</v>
      </c>
      <c r="BF119" s="167">
        <v>0</v>
      </c>
      <c r="BG119" s="1075">
        <f t="shared" si="83"/>
        <v>276.91535956603855</v>
      </c>
      <c r="BI119" s="1055">
        <f t="shared" si="84"/>
        <v>178.16019772953089</v>
      </c>
      <c r="BJ119" s="1056">
        <f t="shared" si="85"/>
        <v>87.047921264888146</v>
      </c>
      <c r="BK119" s="1082">
        <f t="shared" si="86"/>
        <v>11.707240571619545</v>
      </c>
      <c r="BL119" s="1056">
        <f t="shared" si="55"/>
        <v>276.91535956603855</v>
      </c>
      <c r="BM119" s="167">
        <v>0</v>
      </c>
      <c r="BN119" s="1075">
        <f t="shared" si="87"/>
        <v>276.91535956603855</v>
      </c>
    </row>
    <row r="120" spans="1:66" ht="15" thickBot="1">
      <c r="A120" s="928">
        <f>'Input data'!A150</f>
        <v>2050</v>
      </c>
      <c r="B120" s="828">
        <f>'Input data'!B150</f>
        <v>75.518000000000001</v>
      </c>
      <c r="C120" s="828">
        <f>'Recycling - Case 2'!AK130/B120</f>
        <v>265.67589204067707</v>
      </c>
      <c r="D120" s="829">
        <f>'Recycling - Case 2'!AM130</f>
        <v>0.11108875461656312</v>
      </c>
      <c r="E120" s="830">
        <f>'Recycling - Case 2'!BE130</f>
        <v>0.22140715259592259</v>
      </c>
      <c r="F120" s="830">
        <f>'Recycling - Case 2'!BF130</f>
        <v>0.28080416823304288</v>
      </c>
      <c r="G120" s="830">
        <f>'Recycling - Case 2'!BG130</f>
        <v>5.3006963012885683E-2</v>
      </c>
      <c r="H120" s="830">
        <f>'Recycling - Case 2'!BH130</f>
        <v>0</v>
      </c>
      <c r="I120" s="830">
        <f>'Recycling - Case 2'!BI130</f>
        <v>0</v>
      </c>
      <c r="J120" s="830">
        <f>'Recycling - Case 2'!BJ130</f>
        <v>0</v>
      </c>
      <c r="K120" s="830">
        <f>'Recycling - Case 2'!BK130</f>
        <v>0.44478171615814882</v>
      </c>
      <c r="L120" s="831">
        <f t="shared" si="89"/>
        <v>1</v>
      </c>
      <c r="M120" s="4"/>
      <c r="N120" s="840">
        <f t="shared" si="56"/>
        <v>2228.8083452440806</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0.11057469174115124</v>
      </c>
      <c r="Q120" s="843">
        <f t="shared" si="57"/>
        <v>123.22489786273479</v>
      </c>
      <c r="R120" s="843">
        <f t="shared" si="58"/>
        <v>123.22489786273479</v>
      </c>
      <c r="S120" s="844">
        <f t="shared" si="59"/>
        <v>0</v>
      </c>
      <c r="T120" s="843">
        <f t="shared" si="92"/>
        <v>5198.4226413697106</v>
      </c>
      <c r="U120" s="843">
        <f t="shared" si="61"/>
        <v>260.21095263472586</v>
      </c>
      <c r="V120" s="845">
        <f t="shared" si="62"/>
        <v>173.47396842315058</v>
      </c>
      <c r="W120" s="4"/>
      <c r="X120" s="852">
        <f>'Recycling - Case 2'!AM170</f>
        <v>480.81966001152483</v>
      </c>
      <c r="Y120" s="858">
        <f>Parameters!S255</f>
        <v>0.71500000000000008</v>
      </c>
      <c r="Z120" s="858">
        <f t="shared" si="63"/>
        <v>0.4</v>
      </c>
      <c r="AA120" s="859">
        <f t="shared" si="64"/>
        <v>68.757211381648062</v>
      </c>
      <c r="AB120" s="859">
        <f t="shared" si="65"/>
        <v>68.757211381648062</v>
      </c>
      <c r="AC120" s="860">
        <f t="shared" si="66"/>
        <v>0</v>
      </c>
      <c r="AD120" s="859">
        <f t="shared" si="67"/>
        <v>2550.3590100326473</v>
      </c>
      <c r="AE120" s="859">
        <f t="shared" si="68"/>
        <v>127.23444498554997</v>
      </c>
      <c r="AF120" s="861">
        <f t="shared" si="69"/>
        <v>84.82296332369998</v>
      </c>
      <c r="AG120" s="4"/>
      <c r="AH120" s="852">
        <f>'Recycling - Case 2'!AM210</f>
        <v>480.81966001152483</v>
      </c>
      <c r="AI120" s="858">
        <f>Parameters!S255</f>
        <v>0.71500000000000008</v>
      </c>
      <c r="AJ120" s="858">
        <f t="shared" si="70"/>
        <v>0.4</v>
      </c>
      <c r="AK120" s="859">
        <f t="shared" si="71"/>
        <v>68.757211381648062</v>
      </c>
      <c r="AL120" s="859">
        <f t="shared" si="72"/>
        <v>68.757211381648062</v>
      </c>
      <c r="AM120" s="860">
        <f t="shared" si="73"/>
        <v>0</v>
      </c>
      <c r="AN120" s="859">
        <f t="shared" si="74"/>
        <v>2550.3590100326473</v>
      </c>
      <c r="AO120" s="859">
        <f t="shared" si="75"/>
        <v>127.23444498554997</v>
      </c>
      <c r="AP120" s="861">
        <f t="shared" si="76"/>
        <v>84.82296332369998</v>
      </c>
      <c r="AQ120" s="4"/>
      <c r="AR120" s="1047">
        <f>'Recycling - Case 2'!G130</f>
        <v>848.8558222073508</v>
      </c>
      <c r="AS120" s="1048">
        <f>Parameters!R221</f>
        <v>1</v>
      </c>
      <c r="AT120" s="1048">
        <f t="shared" si="77"/>
        <v>0.05</v>
      </c>
      <c r="AU120" s="1049">
        <f t="shared" si="78"/>
        <v>21.221395555183772</v>
      </c>
      <c r="AV120" s="1049">
        <f t="shared" si="79"/>
        <v>21.221395555183772</v>
      </c>
      <c r="AW120" s="1050">
        <f t="shared" si="80"/>
        <v>0</v>
      </c>
      <c r="AX120" s="1049">
        <f t="shared" si="91"/>
        <v>308.55551603465528</v>
      </c>
      <c r="AY120" s="1049">
        <f t="shared" si="49"/>
        <v>17.767749715098805</v>
      </c>
      <c r="AZ120" s="1051">
        <f t="shared" si="47"/>
        <v>11.845166476732537</v>
      </c>
      <c r="BA120" s="4"/>
      <c r="BB120" s="1057">
        <f t="shared" si="81"/>
        <v>173.47396842315058</v>
      </c>
      <c r="BC120" s="1058">
        <f t="shared" si="82"/>
        <v>84.82296332369998</v>
      </c>
      <c r="BD120" s="1083">
        <f t="shared" si="90"/>
        <v>11.845166476732537</v>
      </c>
      <c r="BE120" s="1058">
        <f t="shared" si="54"/>
        <v>270.14209822358305</v>
      </c>
      <c r="BF120" s="1059">
        <v>0</v>
      </c>
      <c r="BG120" s="1076">
        <f t="shared" si="83"/>
        <v>270.14209822358305</v>
      </c>
      <c r="BI120" s="1057">
        <f t="shared" si="84"/>
        <v>173.47396842315058</v>
      </c>
      <c r="BJ120" s="1058">
        <f t="shared" si="85"/>
        <v>84.82296332369998</v>
      </c>
      <c r="BK120" s="1083">
        <f t="shared" si="86"/>
        <v>11.845166476732537</v>
      </c>
      <c r="BL120" s="1058">
        <f t="shared" si="55"/>
        <v>270.14209822358305</v>
      </c>
      <c r="BM120" s="1059">
        <v>0</v>
      </c>
      <c r="BN120" s="1076">
        <f t="shared" si="87"/>
        <v>270.14209822358305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2187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314"/>
    <col min="55" max="55" width="11.109375" customWidth="1"/>
    <col min="56" max="56" width="8.33203125" style="1078" customWidth="1"/>
    <col min="57" max="57" width="14.44140625" customWidth="1"/>
    <col min="59" max="59" width="12.33203125" customWidth="1"/>
    <col min="61" max="62" width="11.33203125" customWidth="1"/>
    <col min="63" max="63" width="11.33203125" style="1078" customWidth="1"/>
    <col min="64" max="64" width="11.33203125" customWidth="1"/>
    <col min="65" max="65" width="10.6640625" customWidth="1"/>
    <col min="66" max="66" width="12.332031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 thickBot="1">
      <c r="A14" s="152" t="s">
        <v>728</v>
      </c>
      <c r="B14" s="163"/>
      <c r="C14" s="163"/>
      <c r="D14" s="683">
        <f>'Waste Summary 2017 SASOW'!$L$26</f>
        <v>6.9875113374971584E-2</v>
      </c>
      <c r="E14" s="1447"/>
      <c r="F14" s="104"/>
      <c r="G14" s="104"/>
      <c r="X14" s="1"/>
      <c r="AH14" s="1"/>
    </row>
    <row r="15" spans="1:66" ht="1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8" t="s">
        <v>319</v>
      </c>
      <c r="BC15" s="1749"/>
      <c r="BD15" s="1749"/>
      <c r="BE15" s="1749"/>
      <c r="BF15" s="1749"/>
      <c r="BG15" s="1750"/>
      <c r="BI15" s="1748" t="s">
        <v>319</v>
      </c>
      <c r="BJ15" s="1749"/>
      <c r="BK15" s="1749"/>
      <c r="BL15" s="1749"/>
      <c r="BM15" s="1749"/>
      <c r="BN15" s="1750"/>
    </row>
    <row r="16" spans="1:66" ht="57.6">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2.8">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2012.0587935538863</v>
      </c>
      <c r="Y31" s="907">
        <f>Parameters!S132</f>
        <v>0.71500000000000008</v>
      </c>
      <c r="Z31" s="907">
        <f t="shared" si="9"/>
        <v>0.4</v>
      </c>
      <c r="AA31" s="906">
        <f t="shared" si="10"/>
        <v>287.72440747820582</v>
      </c>
      <c r="AB31" s="906">
        <f t="shared" si="11"/>
        <v>287.72440747820582</v>
      </c>
      <c r="AC31" s="286">
        <f t="shared" si="12"/>
        <v>0</v>
      </c>
      <c r="AD31" s="906">
        <f t="shared" si="13"/>
        <v>287.72440747820582</v>
      </c>
      <c r="AE31" s="906">
        <f t="shared" si="14"/>
        <v>0</v>
      </c>
      <c r="AF31" s="1072">
        <f t="shared" si="15"/>
        <v>0</v>
      </c>
      <c r="AG31" s="1450">
        <f t="shared" si="16"/>
        <v>0.13527885904981399</v>
      </c>
      <c r="AH31" s="914">
        <f>'Baseline data (from input)'!AS17*AG31</f>
        <v>2012.0587935538863</v>
      </c>
      <c r="AI31" s="907">
        <f>Parameters!S132</f>
        <v>0.71500000000000008</v>
      </c>
      <c r="AJ31" s="907">
        <f t="shared" si="17"/>
        <v>0.4</v>
      </c>
      <c r="AK31" s="906">
        <f t="shared" si="18"/>
        <v>287.72440747820582</v>
      </c>
      <c r="AL31" s="906">
        <f t="shared" si="19"/>
        <v>287.72440747820582</v>
      </c>
      <c r="AM31" s="286">
        <f t="shared" si="20"/>
        <v>0</v>
      </c>
      <c r="AN31" s="906">
        <f t="shared" si="21"/>
        <v>287.72440747820582</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2136.3614336223122</v>
      </c>
      <c r="Y32" s="907">
        <f>Parameters!S133</f>
        <v>0.71500000000000008</v>
      </c>
      <c r="Z32" s="907">
        <f t="shared" si="9"/>
        <v>0.4</v>
      </c>
      <c r="AA32" s="906">
        <f t="shared" si="10"/>
        <v>305.49968500799071</v>
      </c>
      <c r="AB32" s="906">
        <f t="shared" si="11"/>
        <v>305.49968500799071</v>
      </c>
      <c r="AC32" s="286">
        <f t="shared" si="12"/>
        <v>0</v>
      </c>
      <c r="AD32" s="906">
        <f t="shared" si="13"/>
        <v>579.1916075482934</v>
      </c>
      <c r="AE32" s="906">
        <f t="shared" si="14"/>
        <v>14.032484937903162</v>
      </c>
      <c r="AF32" s="1072">
        <f t="shared" si="15"/>
        <v>9.3549899586021077</v>
      </c>
      <c r="AG32" s="1450">
        <f t="shared" si="16"/>
        <v>0.13527885904981399</v>
      </c>
      <c r="AH32" s="914">
        <f>'Baseline data (from input)'!AS18*AG32</f>
        <v>2136.3614336223122</v>
      </c>
      <c r="AI32" s="907">
        <f>Parameters!S133</f>
        <v>0.71500000000000008</v>
      </c>
      <c r="AJ32" s="907">
        <f t="shared" si="17"/>
        <v>0.4</v>
      </c>
      <c r="AK32" s="906">
        <f>AH32*AJ32*AI32*$D$4</f>
        <v>305.49968500799071</v>
      </c>
      <c r="AL32" s="906">
        <f>AK32*$D$10</f>
        <v>305.49968500799071</v>
      </c>
      <c r="AM32" s="286">
        <f t="shared" si="20"/>
        <v>0</v>
      </c>
      <c r="AN32" s="906">
        <f t="shared" si="21"/>
        <v>579.1916075482934</v>
      </c>
      <c r="AO32" s="906">
        <f t="shared" si="22"/>
        <v>14.032484937903162</v>
      </c>
      <c r="AP32" s="1072">
        <f t="shared" si="23"/>
        <v>9.3549899586021077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9.3549899586021077</v>
      </c>
      <c r="BD32" s="1080">
        <f t="shared" si="33"/>
        <v>0</v>
      </c>
      <c r="BE32" s="301">
        <f t="shared" si="34"/>
        <v>49.339526531707875</v>
      </c>
      <c r="BF32" s="104">
        <v>0</v>
      </c>
      <c r="BG32" s="302">
        <f t="shared" si="35"/>
        <v>49.339526531707875</v>
      </c>
      <c r="BI32" s="300">
        <f t="shared" si="36"/>
        <v>39.984536573105771</v>
      </c>
      <c r="BJ32" s="301">
        <f t="shared" si="37"/>
        <v>9.3549899586021077</v>
      </c>
      <c r="BK32" s="1080">
        <f t="shared" si="38"/>
        <v>0</v>
      </c>
      <c r="BL32" s="301">
        <f t="shared" si="39"/>
        <v>49.339526531707875</v>
      </c>
      <c r="BM32" s="104">
        <v>0</v>
      </c>
      <c r="BN32" s="302">
        <f t="shared" si="40"/>
        <v>49.339526531707875</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2293.8884534256958</v>
      </c>
      <c r="Y33" s="908">
        <f>Parameters!S134</f>
        <v>0.71500000000000008</v>
      </c>
      <c r="Z33" s="908">
        <f t="shared" si="9"/>
        <v>0.4</v>
      </c>
      <c r="AA33" s="906">
        <f t="shared" si="10"/>
        <v>328.02604883987453</v>
      </c>
      <c r="AB33" s="906">
        <f t="shared" si="11"/>
        <v>328.02604883987453</v>
      </c>
      <c r="AC33" s="286">
        <f t="shared" si="12"/>
        <v>0</v>
      </c>
      <c r="AD33" s="906">
        <f t="shared" si="13"/>
        <v>878.97014836368112</v>
      </c>
      <c r="AE33" s="906">
        <f t="shared" si="14"/>
        <v>28.247508024486862</v>
      </c>
      <c r="AF33" s="1072">
        <f t="shared" si="15"/>
        <v>18.831672016324575</v>
      </c>
      <c r="AG33" s="1450">
        <f t="shared" si="16"/>
        <v>0.13527885904981399</v>
      </c>
      <c r="AH33" s="914">
        <f>'Baseline data (from input)'!AS19*AG33</f>
        <v>2293.8884534256958</v>
      </c>
      <c r="AI33" s="908">
        <f>Parameters!S134</f>
        <v>0.71500000000000008</v>
      </c>
      <c r="AJ33" s="908">
        <f t="shared" si="17"/>
        <v>0.4</v>
      </c>
      <c r="AK33" s="906">
        <f t="shared" si="18"/>
        <v>328.02604883987453</v>
      </c>
      <c r="AL33" s="906">
        <f t="shared" si="19"/>
        <v>328.02604883987453</v>
      </c>
      <c r="AM33" s="286">
        <f>AK33*(1-$D$10)</f>
        <v>0</v>
      </c>
      <c r="AN33" s="906">
        <f>AL33+(AN32*$D$8)</f>
        <v>878.97014836368112</v>
      </c>
      <c r="AO33" s="906">
        <f t="shared" si="22"/>
        <v>28.247508024486862</v>
      </c>
      <c r="AP33" s="1072">
        <f t="shared" si="23"/>
        <v>18.831672016324575</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18.831672016324575</v>
      </c>
      <c r="BD33" s="1080">
        <f t="shared" si="33"/>
        <v>0</v>
      </c>
      <c r="BE33" s="301">
        <f t="shared" si="34"/>
        <v>62.066662898982408</v>
      </c>
      <c r="BF33" s="104">
        <v>0</v>
      </c>
      <c r="BG33" s="302">
        <f t="shared" si="35"/>
        <v>62.066662898982408</v>
      </c>
      <c r="BI33" s="300">
        <f t="shared" si="36"/>
        <v>43.234990882657833</v>
      </c>
      <c r="BJ33" s="301">
        <f t="shared" si="37"/>
        <v>18.831672016324575</v>
      </c>
      <c r="BK33" s="1080">
        <f t="shared" si="38"/>
        <v>0</v>
      </c>
      <c r="BL33" s="301">
        <f t="shared" si="39"/>
        <v>62.066662898982408</v>
      </c>
      <c r="BM33" s="104">
        <v>0</v>
      </c>
      <c r="BN33" s="302">
        <f t="shared" si="40"/>
        <v>62.066662898982408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2476.0181883580972</v>
      </c>
      <c r="Y34" s="908">
        <f>Parameters!S135</f>
        <v>0.71500000000000008</v>
      </c>
      <c r="Z34" s="908">
        <f t="shared" si="9"/>
        <v>0.4</v>
      </c>
      <c r="AA34" s="906">
        <f t="shared" si="10"/>
        <v>354.07060093520795</v>
      </c>
      <c r="AB34" s="906">
        <f t="shared" si="11"/>
        <v>354.07060093520795</v>
      </c>
      <c r="AC34" s="286">
        <f t="shared" si="12"/>
        <v>0</v>
      </c>
      <c r="AD34" s="906">
        <f t="shared" si="13"/>
        <v>1190.1728693164996</v>
      </c>
      <c r="AE34" s="906">
        <f t="shared" si="14"/>
        <v>42.86787998238951</v>
      </c>
      <c r="AF34" s="1072">
        <f t="shared" si="15"/>
        <v>28.57858665492634</v>
      </c>
      <c r="AG34" s="1450">
        <f t="shared" si="16"/>
        <v>0.13527885904981399</v>
      </c>
      <c r="AH34" s="914">
        <f>'Baseline data (from input)'!AS20*AG34</f>
        <v>2476.0181883580972</v>
      </c>
      <c r="AI34" s="908">
        <f>Parameters!S135</f>
        <v>0.71500000000000008</v>
      </c>
      <c r="AJ34" s="908">
        <f t="shared" si="17"/>
        <v>0.4</v>
      </c>
      <c r="AK34" s="906">
        <f t="shared" si="18"/>
        <v>354.07060093520795</v>
      </c>
      <c r="AL34" s="906">
        <f t="shared" si="19"/>
        <v>354.07060093520795</v>
      </c>
      <c r="AM34" s="286">
        <f t="shared" si="20"/>
        <v>0</v>
      </c>
      <c r="AN34" s="906">
        <f t="shared" si="21"/>
        <v>1190.1728693164996</v>
      </c>
      <c r="AO34" s="906">
        <f t="shared" si="22"/>
        <v>42.86787998238951</v>
      </c>
      <c r="AP34" s="1072">
        <f t="shared" si="23"/>
        <v>28.57858665492634</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28.57858665492634</v>
      </c>
      <c r="BD34" s="1080">
        <f t="shared" si="33"/>
        <v>0</v>
      </c>
      <c r="BE34" s="301">
        <f t="shared" si="34"/>
        <v>75.041973752294751</v>
      </c>
      <c r="BF34" s="104">
        <v>0</v>
      </c>
      <c r="BG34" s="302">
        <f t="shared" si="35"/>
        <v>75.041973752294751</v>
      </c>
      <c r="BI34" s="300">
        <f t="shared" si="36"/>
        <v>46.463387097368418</v>
      </c>
      <c r="BJ34" s="301">
        <f t="shared" si="37"/>
        <v>28.57858665492634</v>
      </c>
      <c r="BK34" s="1080">
        <f t="shared" si="38"/>
        <v>0</v>
      </c>
      <c r="BL34" s="301">
        <f t="shared" si="39"/>
        <v>75.041973752294751</v>
      </c>
      <c r="BM34" s="104">
        <v>0</v>
      </c>
      <c r="BN34" s="302">
        <f t="shared" si="40"/>
        <v>75.041973752294751</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2627.6188600642822</v>
      </c>
      <c r="Y35" s="908">
        <f>Parameters!S136</f>
        <v>0.71500000000000008</v>
      </c>
      <c r="Z35" s="908">
        <f t="shared" si="9"/>
        <v>0.4</v>
      </c>
      <c r="AA35" s="906">
        <f t="shared" si="10"/>
        <v>375.74949698919244</v>
      </c>
      <c r="AB35" s="906">
        <f t="shared" si="11"/>
        <v>375.74949698919244</v>
      </c>
      <c r="AC35" s="286">
        <f t="shared" si="12"/>
        <v>0</v>
      </c>
      <c r="AD35" s="906">
        <f t="shared" si="13"/>
        <v>1507.87695052549</v>
      </c>
      <c r="AE35" s="906">
        <f t="shared" si="14"/>
        <v>58.045415780202177</v>
      </c>
      <c r="AF35" s="1072">
        <f t="shared" si="15"/>
        <v>38.69694385346812</v>
      </c>
      <c r="AG35" s="1450">
        <f t="shared" si="16"/>
        <v>0.13527885904981399</v>
      </c>
      <c r="AH35" s="914">
        <f>'Baseline data (from input)'!AS21*AG35</f>
        <v>2627.6188600642822</v>
      </c>
      <c r="AI35" s="908">
        <f>Parameters!S136</f>
        <v>0.71500000000000008</v>
      </c>
      <c r="AJ35" s="908">
        <f t="shared" si="17"/>
        <v>0.4</v>
      </c>
      <c r="AK35" s="906">
        <f t="shared" si="18"/>
        <v>375.74949698919244</v>
      </c>
      <c r="AL35" s="906">
        <f t="shared" si="19"/>
        <v>375.74949698919244</v>
      </c>
      <c r="AM35" s="286">
        <f t="shared" si="20"/>
        <v>0</v>
      </c>
      <c r="AN35" s="906">
        <f t="shared" si="21"/>
        <v>1507.87695052549</v>
      </c>
      <c r="AO35" s="906">
        <f t="shared" si="22"/>
        <v>58.045415780202177</v>
      </c>
      <c r="AP35" s="1072">
        <f t="shared" si="23"/>
        <v>38.69694385346812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38.69694385346812</v>
      </c>
      <c r="BD35" s="1080">
        <f t="shared" si="33"/>
        <v>0</v>
      </c>
      <c r="BE35" s="301">
        <f t="shared" si="34"/>
        <v>88.367744856685505</v>
      </c>
      <c r="BF35" s="104">
        <v>0</v>
      </c>
      <c r="BG35" s="302">
        <f t="shared" si="35"/>
        <v>88.367744856685505</v>
      </c>
      <c r="BI35" s="300">
        <f t="shared" si="36"/>
        <v>49.670801003217377</v>
      </c>
      <c r="BJ35" s="301">
        <f t="shared" si="37"/>
        <v>38.69694385346812</v>
      </c>
      <c r="BK35" s="1080">
        <f t="shared" si="38"/>
        <v>0</v>
      </c>
      <c r="BL35" s="301">
        <f t="shared" si="39"/>
        <v>88.367744856685505</v>
      </c>
      <c r="BM35" s="104">
        <v>0</v>
      </c>
      <c r="BN35" s="302">
        <f t="shared" si="40"/>
        <v>88.367744856685505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2744.2406851557662</v>
      </c>
      <c r="Y36" s="908">
        <f>Parameters!S137</f>
        <v>0.71500000000000008</v>
      </c>
      <c r="Z36" s="908">
        <f t="shared" si="9"/>
        <v>0.4</v>
      </c>
      <c r="AA36" s="906">
        <f t="shared" si="10"/>
        <v>392.42641797727458</v>
      </c>
      <c r="AB36" s="906">
        <f t="shared" si="11"/>
        <v>392.42641797727458</v>
      </c>
      <c r="AC36" s="286">
        <f t="shared" si="12"/>
        <v>0</v>
      </c>
      <c r="AD36" s="906">
        <f t="shared" si="13"/>
        <v>1826.763341843528</v>
      </c>
      <c r="AE36" s="906">
        <f t="shared" si="14"/>
        <v>73.540026659236531</v>
      </c>
      <c r="AF36" s="1072">
        <f t="shared" si="15"/>
        <v>49.026684439491021</v>
      </c>
      <c r="AG36" s="1450">
        <f t="shared" si="16"/>
        <v>0.13527885904981399</v>
      </c>
      <c r="AH36" s="914">
        <f>'Baseline data (from input)'!AS22*AG36</f>
        <v>2744.2406851557662</v>
      </c>
      <c r="AI36" s="908">
        <f>Parameters!S137</f>
        <v>0.71500000000000008</v>
      </c>
      <c r="AJ36" s="908">
        <f t="shared" si="17"/>
        <v>0.4</v>
      </c>
      <c r="AK36" s="906">
        <f t="shared" si="18"/>
        <v>392.42641797727458</v>
      </c>
      <c r="AL36" s="906">
        <f t="shared" si="19"/>
        <v>392.42641797727458</v>
      </c>
      <c r="AM36" s="286">
        <f t="shared" si="20"/>
        <v>0</v>
      </c>
      <c r="AN36" s="906">
        <f t="shared" si="21"/>
        <v>1826.763341843528</v>
      </c>
      <c r="AO36" s="906">
        <f t="shared" si="22"/>
        <v>73.540026659236531</v>
      </c>
      <c r="AP36" s="1072">
        <f t="shared" si="23"/>
        <v>49.026684439491021</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49.026684439491021</v>
      </c>
      <c r="BD36" s="1080">
        <f t="shared" si="33"/>
        <v>0</v>
      </c>
      <c r="BE36" s="301">
        <f t="shared" si="34"/>
        <v>101.88494035897421</v>
      </c>
      <c r="BF36" s="104">
        <v>0</v>
      </c>
      <c r="BG36" s="302">
        <f t="shared" si="35"/>
        <v>101.88494035897421</v>
      </c>
      <c r="BI36" s="300">
        <f t="shared" si="36"/>
        <v>52.858255919483177</v>
      </c>
      <c r="BJ36" s="301">
        <f t="shared" si="37"/>
        <v>49.026684439491021</v>
      </c>
      <c r="BK36" s="1080">
        <f t="shared" si="38"/>
        <v>0</v>
      </c>
      <c r="BL36" s="301">
        <f t="shared" si="39"/>
        <v>101.88494035897421</v>
      </c>
      <c r="BM36" s="104">
        <v>0</v>
      </c>
      <c r="BN36" s="302">
        <f t="shared" si="40"/>
        <v>101.88494035897421</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2941.7320500668197</v>
      </c>
      <c r="Y37" s="908">
        <f>Parameters!S138</f>
        <v>0.71500000000000008</v>
      </c>
      <c r="Z37" s="908">
        <f t="shared" si="9"/>
        <v>0.4</v>
      </c>
      <c r="AA37" s="906">
        <f t="shared" si="10"/>
        <v>420.66768315955528</v>
      </c>
      <c r="AB37" s="906">
        <f t="shared" si="11"/>
        <v>420.66768315955528</v>
      </c>
      <c r="AC37" s="286">
        <f t="shared" si="12"/>
        <v>0</v>
      </c>
      <c r="AD37" s="906">
        <f t="shared" si="13"/>
        <v>2158.3387255203752</v>
      </c>
      <c r="AE37" s="906">
        <f t="shared" si="14"/>
        <v>89.092299482707759</v>
      </c>
      <c r="AF37" s="1072">
        <f t="shared" si="15"/>
        <v>59.394866321805175</v>
      </c>
      <c r="AG37" s="1450">
        <f t="shared" si="16"/>
        <v>0.13527885904981399</v>
      </c>
      <c r="AH37" s="914">
        <f>'Baseline data (from input)'!AS23*AG37</f>
        <v>2941.7320500668197</v>
      </c>
      <c r="AI37" s="908">
        <f>Parameters!S138</f>
        <v>0.71500000000000008</v>
      </c>
      <c r="AJ37" s="908">
        <f t="shared" si="17"/>
        <v>0.4</v>
      </c>
      <c r="AK37" s="906">
        <f t="shared" si="18"/>
        <v>420.66768315955528</v>
      </c>
      <c r="AL37" s="906">
        <f t="shared" si="19"/>
        <v>420.66768315955528</v>
      </c>
      <c r="AM37" s="286">
        <f t="shared" si="20"/>
        <v>0</v>
      </c>
      <c r="AN37" s="906">
        <f t="shared" si="21"/>
        <v>2158.3387255203752</v>
      </c>
      <c r="AO37" s="906">
        <f t="shared" si="22"/>
        <v>89.092299482707759</v>
      </c>
      <c r="AP37" s="1072">
        <f t="shared" si="23"/>
        <v>59.394866321805175</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59.394866321805175</v>
      </c>
      <c r="BD37" s="1080">
        <f t="shared" si="33"/>
        <v>0</v>
      </c>
      <c r="BE37" s="301">
        <f t="shared" si="34"/>
        <v>115.46139838620192</v>
      </c>
      <c r="BF37" s="104">
        <v>0</v>
      </c>
      <c r="BG37" s="302">
        <f t="shared" si="35"/>
        <v>115.46139838620192</v>
      </c>
      <c r="BI37" s="300">
        <f t="shared" si="36"/>
        <v>56.066532064396746</v>
      </c>
      <c r="BJ37" s="301">
        <f t="shared" si="37"/>
        <v>59.394866321805175</v>
      </c>
      <c r="BK37" s="1080">
        <f t="shared" si="38"/>
        <v>0</v>
      </c>
      <c r="BL37" s="301">
        <f t="shared" si="39"/>
        <v>115.46139838620192</v>
      </c>
      <c r="BM37" s="104">
        <v>0</v>
      </c>
      <c r="BN37" s="302">
        <f t="shared" si="40"/>
        <v>115.46139838620192</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3063.9152673420963</v>
      </c>
      <c r="Y38" s="908">
        <f>Parameters!S139</f>
        <v>0.71500000000000008</v>
      </c>
      <c r="Z38" s="908">
        <f t="shared" si="9"/>
        <v>0.4</v>
      </c>
      <c r="AA38" s="906">
        <f t="shared" si="10"/>
        <v>438.13988322991986</v>
      </c>
      <c r="AB38" s="906">
        <f t="shared" si="11"/>
        <v>438.13988322991986</v>
      </c>
      <c r="AC38" s="286">
        <f t="shared" si="12"/>
        <v>0</v>
      </c>
      <c r="AD38" s="906">
        <f t="shared" si="13"/>
        <v>2491.215186984271</v>
      </c>
      <c r="AE38" s="906">
        <f t="shared" si="14"/>
        <v>105.26342176602415</v>
      </c>
      <c r="AF38" s="1072">
        <f t="shared" si="15"/>
        <v>70.175614510682763</v>
      </c>
      <c r="AG38" s="1450">
        <f t="shared" si="16"/>
        <v>0.13527885904981399</v>
      </c>
      <c r="AH38" s="914">
        <f>'Baseline data (from input)'!AS24*AG38</f>
        <v>3063.9152673420963</v>
      </c>
      <c r="AI38" s="908">
        <f>Parameters!S139</f>
        <v>0.71500000000000008</v>
      </c>
      <c r="AJ38" s="908">
        <f t="shared" si="17"/>
        <v>0.4</v>
      </c>
      <c r="AK38" s="906">
        <f t="shared" si="18"/>
        <v>438.13988322991986</v>
      </c>
      <c r="AL38" s="906">
        <f t="shared" si="19"/>
        <v>438.13988322991986</v>
      </c>
      <c r="AM38" s="286">
        <f t="shared" si="20"/>
        <v>0</v>
      </c>
      <c r="AN38" s="906">
        <f t="shared" si="21"/>
        <v>2491.215186984271</v>
      </c>
      <c r="AO38" s="906">
        <f t="shared" si="22"/>
        <v>105.26342176602415</v>
      </c>
      <c r="AP38" s="1072">
        <f t="shared" si="23"/>
        <v>70.175614510682763</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70.175614510682763</v>
      </c>
      <c r="BD38" s="1080">
        <f t="shared" si="33"/>
        <v>0</v>
      </c>
      <c r="BE38" s="301">
        <f t="shared" si="34"/>
        <v>129.47209111618903</v>
      </c>
      <c r="BF38" s="104">
        <v>0</v>
      </c>
      <c r="BG38" s="302">
        <f t="shared" si="35"/>
        <v>129.47209111618903</v>
      </c>
      <c r="BI38" s="300">
        <f t="shared" si="36"/>
        <v>59.296476605506278</v>
      </c>
      <c r="BJ38" s="301">
        <f t="shared" si="37"/>
        <v>70.175614510682763</v>
      </c>
      <c r="BK38" s="1080">
        <f t="shared" si="38"/>
        <v>0</v>
      </c>
      <c r="BL38" s="301">
        <f t="shared" si="39"/>
        <v>129.47209111618903</v>
      </c>
      <c r="BM38" s="104">
        <v>0</v>
      </c>
      <c r="BN38" s="302">
        <f t="shared" si="40"/>
        <v>129.47209111618903</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3208.4043213532386</v>
      </c>
      <c r="Y39" s="908">
        <f>Parameters!S140</f>
        <v>0.71500000000000008</v>
      </c>
      <c r="Z39" s="908">
        <f t="shared" si="9"/>
        <v>0.4</v>
      </c>
      <c r="AA39" s="906">
        <f t="shared" si="10"/>
        <v>458.80181795351325</v>
      </c>
      <c r="AB39" s="906">
        <f t="shared" si="11"/>
        <v>458.80181795351325</v>
      </c>
      <c r="AC39" s="286">
        <f t="shared" si="12"/>
        <v>0</v>
      </c>
      <c r="AD39" s="906">
        <f t="shared" si="13"/>
        <v>2828.5190065760003</v>
      </c>
      <c r="AE39" s="906">
        <f t="shared" si="14"/>
        <v>121.49799836178424</v>
      </c>
      <c r="AF39" s="1072">
        <f t="shared" si="15"/>
        <v>80.998665574522832</v>
      </c>
      <c r="AG39" s="1450">
        <f t="shared" si="16"/>
        <v>0.13527885904981399</v>
      </c>
      <c r="AH39" s="914">
        <f>'Baseline data (from input)'!AS25*AG39</f>
        <v>3208.4043213532386</v>
      </c>
      <c r="AI39" s="908">
        <f>Parameters!S140</f>
        <v>0.71500000000000008</v>
      </c>
      <c r="AJ39" s="908">
        <f t="shared" si="17"/>
        <v>0.4</v>
      </c>
      <c r="AK39" s="906">
        <f t="shared" si="18"/>
        <v>458.80181795351325</v>
      </c>
      <c r="AL39" s="906">
        <f t="shared" si="19"/>
        <v>458.80181795351325</v>
      </c>
      <c r="AM39" s="286">
        <f t="shared" si="20"/>
        <v>0</v>
      </c>
      <c r="AN39" s="906">
        <f t="shared" si="21"/>
        <v>2828.5190065760003</v>
      </c>
      <c r="AO39" s="906">
        <f t="shared" si="22"/>
        <v>121.49799836178424</v>
      </c>
      <c r="AP39" s="1072">
        <f t="shared" si="23"/>
        <v>80.998665574522832</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80.998665574522832</v>
      </c>
      <c r="BD39" s="1080">
        <f t="shared" si="33"/>
        <v>0</v>
      </c>
      <c r="BE39" s="301">
        <f t="shared" si="34"/>
        <v>143.54699470897799</v>
      </c>
      <c r="BF39" s="104">
        <v>0</v>
      </c>
      <c r="BG39" s="302">
        <f t="shared" si="35"/>
        <v>143.54699470897799</v>
      </c>
      <c r="BI39" s="300">
        <f t="shared" si="36"/>
        <v>62.548329134455173</v>
      </c>
      <c r="BJ39" s="301">
        <f t="shared" si="37"/>
        <v>80.998665574522832</v>
      </c>
      <c r="BK39" s="1080">
        <f t="shared" si="38"/>
        <v>0</v>
      </c>
      <c r="BL39" s="301">
        <f t="shared" si="39"/>
        <v>143.54699470897799</v>
      </c>
      <c r="BM39" s="104">
        <v>0</v>
      </c>
      <c r="BN39" s="302">
        <f t="shared" si="40"/>
        <v>143.54699470897799</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3376.8030091143287</v>
      </c>
      <c r="Y40" s="908">
        <f>Parameters!S141</f>
        <v>0.71500000000000008</v>
      </c>
      <c r="Z40" s="908">
        <f t="shared" si="9"/>
        <v>0.4</v>
      </c>
      <c r="AA40" s="906">
        <f t="shared" si="10"/>
        <v>482.88283030334907</v>
      </c>
      <c r="AB40" s="906">
        <f t="shared" si="11"/>
        <v>482.88283030334907</v>
      </c>
      <c r="AC40" s="286">
        <f t="shared" si="12"/>
        <v>0</v>
      </c>
      <c r="AD40" s="906">
        <f t="shared" si="13"/>
        <v>3173.4533371179691</v>
      </c>
      <c r="AE40" s="906">
        <f t="shared" si="14"/>
        <v>137.94849976138022</v>
      </c>
      <c r="AF40" s="1072">
        <f t="shared" si="15"/>
        <v>91.965666507586818</v>
      </c>
      <c r="AG40" s="1450">
        <f t="shared" si="16"/>
        <v>0.13527885904981399</v>
      </c>
      <c r="AH40" s="914">
        <f>'Baseline data (from input)'!AS26*AG40</f>
        <v>3376.8030091143287</v>
      </c>
      <c r="AI40" s="908">
        <f>Parameters!S141</f>
        <v>0.71500000000000008</v>
      </c>
      <c r="AJ40" s="908">
        <f t="shared" si="17"/>
        <v>0.4</v>
      </c>
      <c r="AK40" s="906">
        <f t="shared" si="18"/>
        <v>482.88283030334907</v>
      </c>
      <c r="AL40" s="906">
        <f t="shared" si="19"/>
        <v>482.88283030334907</v>
      </c>
      <c r="AM40" s="286">
        <f t="shared" si="20"/>
        <v>0</v>
      </c>
      <c r="AN40" s="906">
        <f t="shared" si="21"/>
        <v>3173.4533371179691</v>
      </c>
      <c r="AO40" s="906">
        <f t="shared" si="22"/>
        <v>137.94849976138022</v>
      </c>
      <c r="AP40" s="1072">
        <f t="shared" si="23"/>
        <v>91.965666507586818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91.965666507586818</v>
      </c>
      <c r="BD40" s="1080">
        <f t="shared" si="33"/>
        <v>0</v>
      </c>
      <c r="BE40" s="301">
        <f t="shared" si="34"/>
        <v>157.78798406545133</v>
      </c>
      <c r="BF40" s="104">
        <v>0</v>
      </c>
      <c r="BG40" s="302">
        <f t="shared" si="35"/>
        <v>157.78798406545133</v>
      </c>
      <c r="BI40" s="300">
        <f t="shared" si="36"/>
        <v>65.822317557864508</v>
      </c>
      <c r="BJ40" s="301">
        <f t="shared" si="37"/>
        <v>91.965666507586818</v>
      </c>
      <c r="BK40" s="1080">
        <f t="shared" si="38"/>
        <v>0</v>
      </c>
      <c r="BL40" s="301">
        <f t="shared" si="39"/>
        <v>157.78798406545133</v>
      </c>
      <c r="BM40" s="104">
        <v>0</v>
      </c>
      <c r="BN40" s="302">
        <f t="shared" si="40"/>
        <v>157.78798406545133</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3521.2954113199135</v>
      </c>
      <c r="Y41" s="908">
        <f>Parameters!S142</f>
        <v>0.71500000000000008</v>
      </c>
      <c r="Z41" s="908">
        <f t="shared" si="9"/>
        <v>0.4</v>
      </c>
      <c r="AA41" s="906">
        <f t="shared" si="10"/>
        <v>503.54524381874768</v>
      </c>
      <c r="AB41" s="906">
        <f t="shared" si="11"/>
        <v>503.54524381874768</v>
      </c>
      <c r="AC41" s="286">
        <f t="shared" si="12"/>
        <v>0</v>
      </c>
      <c r="AD41" s="906">
        <f t="shared" si="13"/>
        <v>3522.2274353653438</v>
      </c>
      <c r="AE41" s="906">
        <f t="shared" si="14"/>
        <v>154.77114557137295</v>
      </c>
      <c r="AF41" s="1072">
        <f t="shared" si="15"/>
        <v>103.18076371424864</v>
      </c>
      <c r="AG41" s="1450">
        <f t="shared" si="16"/>
        <v>0.13527885904981399</v>
      </c>
      <c r="AH41" s="914">
        <f>'Baseline data (from input)'!AS27*AG41</f>
        <v>3521.2954113199135</v>
      </c>
      <c r="AI41" s="908">
        <f>Parameters!S142</f>
        <v>0.71500000000000008</v>
      </c>
      <c r="AJ41" s="908">
        <f t="shared" si="17"/>
        <v>0.4</v>
      </c>
      <c r="AK41" s="906">
        <f t="shared" si="18"/>
        <v>503.54524381874768</v>
      </c>
      <c r="AL41" s="906">
        <f t="shared" si="19"/>
        <v>503.54524381874768</v>
      </c>
      <c r="AM41" s="286">
        <f t="shared" si="20"/>
        <v>0</v>
      </c>
      <c r="AN41" s="906">
        <f t="shared" si="21"/>
        <v>3522.2274353653438</v>
      </c>
      <c r="AO41" s="906">
        <f t="shared" si="22"/>
        <v>154.77114557137295</v>
      </c>
      <c r="AP41" s="1072">
        <f t="shared" si="23"/>
        <v>103.18076371424864</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103.18076371424864</v>
      </c>
      <c r="BD41" s="1080">
        <f t="shared" si="33"/>
        <v>0</v>
      </c>
      <c r="BE41" s="301">
        <f t="shared" si="34"/>
        <v>172.29942238146691</v>
      </c>
      <c r="BF41" s="104">
        <v>0</v>
      </c>
      <c r="BG41" s="302">
        <f t="shared" si="35"/>
        <v>172.29942238146691</v>
      </c>
      <c r="BI41" s="300">
        <f t="shared" si="36"/>
        <v>69.118658667218284</v>
      </c>
      <c r="BJ41" s="301">
        <f t="shared" si="37"/>
        <v>103.18076371424864</v>
      </c>
      <c r="BK41" s="1080">
        <f t="shared" si="38"/>
        <v>0</v>
      </c>
      <c r="BL41" s="301">
        <f t="shared" si="39"/>
        <v>172.29942238146691</v>
      </c>
      <c r="BM41" s="104">
        <v>0</v>
      </c>
      <c r="BN41" s="302">
        <f t="shared" si="40"/>
        <v>172.29942238146691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3579.5644711379095</v>
      </c>
      <c r="Y42" s="908">
        <f>Parameters!S143</f>
        <v>0.71500000000000008</v>
      </c>
      <c r="Z42" s="908">
        <f t="shared" si="9"/>
        <v>0.4</v>
      </c>
      <c r="AA42" s="906">
        <f t="shared" si="10"/>
        <v>511.87771937272117</v>
      </c>
      <c r="AB42" s="906">
        <f t="shared" si="11"/>
        <v>511.87771937272117</v>
      </c>
      <c r="AC42" s="286">
        <f t="shared" si="12"/>
        <v>0</v>
      </c>
      <c r="AD42" s="906">
        <f t="shared" si="13"/>
        <v>3862.3240956759228</v>
      </c>
      <c r="AE42" s="906">
        <f t="shared" si="14"/>
        <v>171.78105906214194</v>
      </c>
      <c r="AF42" s="1072">
        <f t="shared" si="15"/>
        <v>114.52070604142796</v>
      </c>
      <c r="AG42" s="1450">
        <f t="shared" si="16"/>
        <v>0.13527885904981399</v>
      </c>
      <c r="AH42" s="914">
        <f>'Baseline data (from input)'!AS28*AG42</f>
        <v>3579.5644711379095</v>
      </c>
      <c r="AI42" s="908">
        <f>Parameters!S143</f>
        <v>0.71500000000000008</v>
      </c>
      <c r="AJ42" s="908">
        <f t="shared" si="17"/>
        <v>0.4</v>
      </c>
      <c r="AK42" s="906">
        <f t="shared" si="18"/>
        <v>511.87771937272117</v>
      </c>
      <c r="AL42" s="906">
        <f t="shared" si="19"/>
        <v>511.87771937272117</v>
      </c>
      <c r="AM42" s="286">
        <f t="shared" si="20"/>
        <v>0</v>
      </c>
      <c r="AN42" s="906">
        <f t="shared" si="21"/>
        <v>3862.3240956759228</v>
      </c>
      <c r="AO42" s="906">
        <f t="shared" si="22"/>
        <v>171.78105906214194</v>
      </c>
      <c r="AP42" s="1072">
        <f t="shared" si="23"/>
        <v>114.52070604142796</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114.52070604142796</v>
      </c>
      <c r="BD42" s="1080">
        <f t="shared" si="33"/>
        <v>0</v>
      </c>
      <c r="BE42" s="301">
        <f t="shared" si="34"/>
        <v>193.88392622560946</v>
      </c>
      <c r="BF42" s="104">
        <v>0</v>
      </c>
      <c r="BG42" s="302">
        <f t="shared" si="35"/>
        <v>193.88392622560946</v>
      </c>
      <c r="BI42" s="300">
        <f t="shared" si="36"/>
        <v>79.363220184181515</v>
      </c>
      <c r="BJ42" s="301">
        <f t="shared" si="37"/>
        <v>114.52070604142796</v>
      </c>
      <c r="BK42" s="1080">
        <f t="shared" si="38"/>
        <v>0</v>
      </c>
      <c r="BL42" s="301">
        <f t="shared" si="39"/>
        <v>193.88392622560946</v>
      </c>
      <c r="BM42" s="104">
        <v>0</v>
      </c>
      <c r="BN42" s="302">
        <f t="shared" si="40"/>
        <v>193.88392622560946</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3743.2220804016683</v>
      </c>
      <c r="Y43" s="908">
        <f>Parameters!S144</f>
        <v>0.71500000000000008</v>
      </c>
      <c r="Z43" s="908">
        <f t="shared" si="9"/>
        <v>0.4</v>
      </c>
      <c r="AA43" s="906">
        <f t="shared" si="10"/>
        <v>535.28075749743869</v>
      </c>
      <c r="AB43" s="906">
        <f t="shared" si="11"/>
        <v>535.28075749743869</v>
      </c>
      <c r="AC43" s="286">
        <f t="shared" si="12"/>
        <v>0</v>
      </c>
      <c r="AD43" s="906">
        <f t="shared" si="13"/>
        <v>4209.2370842624878</v>
      </c>
      <c r="AE43" s="906">
        <f t="shared" si="14"/>
        <v>188.36776891087405</v>
      </c>
      <c r="AF43" s="1072">
        <f t="shared" si="15"/>
        <v>125.57851260724937</v>
      </c>
      <c r="AG43" s="1450">
        <f t="shared" si="16"/>
        <v>0.13527885904981399</v>
      </c>
      <c r="AH43" s="914">
        <f>'Baseline data (from input)'!AS29*AG43</f>
        <v>3743.2220804016683</v>
      </c>
      <c r="AI43" s="908">
        <f>Parameters!S144</f>
        <v>0.71500000000000008</v>
      </c>
      <c r="AJ43" s="908">
        <f t="shared" si="17"/>
        <v>0.4</v>
      </c>
      <c r="AK43" s="906">
        <f t="shared" si="18"/>
        <v>535.28075749743869</v>
      </c>
      <c r="AL43" s="906">
        <f t="shared" si="19"/>
        <v>535.28075749743869</v>
      </c>
      <c r="AM43" s="286">
        <f t="shared" si="20"/>
        <v>0</v>
      </c>
      <c r="AN43" s="906">
        <f t="shared" si="21"/>
        <v>4209.2370842624878</v>
      </c>
      <c r="AO43" s="906">
        <f t="shared" si="22"/>
        <v>188.36776891087405</v>
      </c>
      <c r="AP43" s="1072">
        <f t="shared" si="23"/>
        <v>125.57851260724937</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125.57851260724937</v>
      </c>
      <c r="BD43" s="1080">
        <f t="shared" si="33"/>
        <v>0</v>
      </c>
      <c r="BE43" s="301">
        <f t="shared" si="34"/>
        <v>215.00232045097016</v>
      </c>
      <c r="BF43" s="104">
        <v>0</v>
      </c>
      <c r="BG43" s="302">
        <f t="shared" si="35"/>
        <v>215.00232045097016</v>
      </c>
      <c r="BI43" s="300">
        <f t="shared" si="36"/>
        <v>89.42380784372078</v>
      </c>
      <c r="BJ43" s="301">
        <f t="shared" si="37"/>
        <v>125.57851260724937</v>
      </c>
      <c r="BK43" s="1080">
        <f t="shared" si="38"/>
        <v>0</v>
      </c>
      <c r="BL43" s="301">
        <f t="shared" si="39"/>
        <v>215.00232045097016</v>
      </c>
      <c r="BM43" s="104">
        <v>0</v>
      </c>
      <c r="BN43" s="302">
        <f t="shared" si="40"/>
        <v>215.00232045097016</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3971.9724203311926</v>
      </c>
      <c r="Y44" s="908">
        <f>Parameters!S145</f>
        <v>0.71500000000000008</v>
      </c>
      <c r="Z44" s="908">
        <f t="shared" si="9"/>
        <v>0.4</v>
      </c>
      <c r="AA44" s="906">
        <f t="shared" si="10"/>
        <v>567.99205610736067</v>
      </c>
      <c r="AB44" s="906">
        <f t="shared" si="11"/>
        <v>567.99205610736067</v>
      </c>
      <c r="AC44" s="286">
        <f t="shared" si="12"/>
        <v>0</v>
      </c>
      <c r="AD44" s="906">
        <f t="shared" si="13"/>
        <v>4571.9422253574303</v>
      </c>
      <c r="AE44" s="906">
        <f t="shared" si="14"/>
        <v>205.28691501241806</v>
      </c>
      <c r="AF44" s="1072">
        <f t="shared" si="15"/>
        <v>136.85794334161204</v>
      </c>
      <c r="AG44" s="1450">
        <f t="shared" si="16"/>
        <v>0.13527885904981399</v>
      </c>
      <c r="AH44" s="914">
        <f>'Baseline data (from input)'!AS30*AG44</f>
        <v>3971.9724203311926</v>
      </c>
      <c r="AI44" s="908">
        <f>Parameters!S145</f>
        <v>0.71500000000000008</v>
      </c>
      <c r="AJ44" s="908">
        <f t="shared" si="17"/>
        <v>0.4</v>
      </c>
      <c r="AK44" s="906">
        <f t="shared" si="18"/>
        <v>567.99205610736067</v>
      </c>
      <c r="AL44" s="906">
        <f t="shared" si="19"/>
        <v>567.99205610736067</v>
      </c>
      <c r="AM44" s="286">
        <f t="shared" si="20"/>
        <v>0</v>
      </c>
      <c r="AN44" s="906">
        <f t="shared" si="21"/>
        <v>4571.9422253574303</v>
      </c>
      <c r="AO44" s="906">
        <f t="shared" si="22"/>
        <v>205.28691501241806</v>
      </c>
      <c r="AP44" s="1072">
        <f t="shared" si="23"/>
        <v>136.85794334161204</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136.85794334161204</v>
      </c>
      <c r="BD44" s="1080">
        <f t="shared" si="33"/>
        <v>0</v>
      </c>
      <c r="BE44" s="301">
        <f t="shared" si="34"/>
        <v>236.17095191785722</v>
      </c>
      <c r="BF44" s="104">
        <v>0</v>
      </c>
      <c r="BG44" s="302">
        <f t="shared" si="35"/>
        <v>236.17095191785722</v>
      </c>
      <c r="BI44" s="300">
        <f t="shared" si="36"/>
        <v>99.313008576245181</v>
      </c>
      <c r="BJ44" s="301">
        <f t="shared" si="37"/>
        <v>136.85794334161204</v>
      </c>
      <c r="BK44" s="1080">
        <f t="shared" si="38"/>
        <v>0</v>
      </c>
      <c r="BL44" s="301">
        <f t="shared" si="39"/>
        <v>236.17095191785722</v>
      </c>
      <c r="BM44" s="104">
        <v>0</v>
      </c>
      <c r="BN44" s="302">
        <f t="shared" si="40"/>
        <v>236.17095191785722</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4039.3151543226409</v>
      </c>
      <c r="Y45" s="908">
        <f>Parameters!S146</f>
        <v>0.71500000000000008</v>
      </c>
      <c r="Z45" s="908">
        <f t="shared" si="9"/>
        <v>0.4</v>
      </c>
      <c r="AA45" s="906">
        <f t="shared" si="10"/>
        <v>577.62206706813777</v>
      </c>
      <c r="AB45" s="906">
        <f t="shared" si="11"/>
        <v>577.62206706813777</v>
      </c>
      <c r="AC45" s="286">
        <f t="shared" si="12"/>
        <v>0</v>
      </c>
      <c r="AD45" s="906">
        <f t="shared" si="13"/>
        <v>4926.5880389453996</v>
      </c>
      <c r="AE45" s="906">
        <f t="shared" si="14"/>
        <v>222.97625348016814</v>
      </c>
      <c r="AF45" s="1072">
        <f t="shared" si="15"/>
        <v>148.65083565344543</v>
      </c>
      <c r="AG45" s="1450">
        <f t="shared" si="16"/>
        <v>0.13527885904981399</v>
      </c>
      <c r="AH45" s="914">
        <f>'Baseline data (from input)'!AS31*AG45</f>
        <v>4039.3151543226409</v>
      </c>
      <c r="AI45" s="908">
        <f>Parameters!S146</f>
        <v>0.71500000000000008</v>
      </c>
      <c r="AJ45" s="908">
        <f t="shared" si="17"/>
        <v>0.4</v>
      </c>
      <c r="AK45" s="906">
        <f t="shared" si="18"/>
        <v>577.62206706813777</v>
      </c>
      <c r="AL45" s="906">
        <f t="shared" si="19"/>
        <v>577.62206706813777</v>
      </c>
      <c r="AM45" s="286">
        <f t="shared" si="20"/>
        <v>0</v>
      </c>
      <c r="AN45" s="906">
        <f t="shared" si="21"/>
        <v>4926.5880389453996</v>
      </c>
      <c r="AO45" s="906">
        <f t="shared" si="22"/>
        <v>222.97625348016814</v>
      </c>
      <c r="AP45" s="1072">
        <f t="shared" si="23"/>
        <v>148.65083565344543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148.65083565344543</v>
      </c>
      <c r="BD45" s="1080">
        <f t="shared" si="33"/>
        <v>0</v>
      </c>
      <c r="BE45" s="301">
        <f t="shared" si="34"/>
        <v>257.69242628726749</v>
      </c>
      <c r="BF45" s="104">
        <v>0</v>
      </c>
      <c r="BG45" s="302">
        <f t="shared" si="35"/>
        <v>257.69242628726749</v>
      </c>
      <c r="BI45" s="300">
        <f t="shared" si="36"/>
        <v>109.04159063382205</v>
      </c>
      <c r="BJ45" s="301">
        <f t="shared" si="37"/>
        <v>148.65083565344543</v>
      </c>
      <c r="BK45" s="1080">
        <f t="shared" si="38"/>
        <v>0</v>
      </c>
      <c r="BL45" s="301">
        <f t="shared" si="39"/>
        <v>257.69242628726749</v>
      </c>
      <c r="BM45" s="104">
        <v>0</v>
      </c>
      <c r="BN45" s="302">
        <f t="shared" si="40"/>
        <v>257.69242628726749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4130.1958697335822</v>
      </c>
      <c r="Y46" s="908">
        <f>Parameters!S147</f>
        <v>0.71500000000000008</v>
      </c>
      <c r="Z46" s="908">
        <f t="shared" si="9"/>
        <v>0.4</v>
      </c>
      <c r="AA46" s="906">
        <f t="shared" si="10"/>
        <v>590.6180093719023</v>
      </c>
      <c r="AB46" s="906">
        <f t="shared" si="11"/>
        <v>590.6180093719023</v>
      </c>
      <c r="AC46" s="286">
        <f t="shared" si="12"/>
        <v>0</v>
      </c>
      <c r="AD46" s="906">
        <f t="shared" si="13"/>
        <v>5276.933514410036</v>
      </c>
      <c r="AE46" s="906">
        <f t="shared" si="14"/>
        <v>240.27253390726588</v>
      </c>
      <c r="AF46" s="1072">
        <f t="shared" si="15"/>
        <v>160.18168927151058</v>
      </c>
      <c r="AG46" s="1450">
        <f t="shared" si="16"/>
        <v>0.13527885904981399</v>
      </c>
      <c r="AH46" s="914">
        <f>'Baseline data (from input)'!AS32*AG46</f>
        <v>4130.1958697335822</v>
      </c>
      <c r="AI46" s="908">
        <f>Parameters!S147</f>
        <v>0.71500000000000008</v>
      </c>
      <c r="AJ46" s="908">
        <f t="shared" si="17"/>
        <v>0.4</v>
      </c>
      <c r="AK46" s="906">
        <f t="shared" si="18"/>
        <v>590.6180093719023</v>
      </c>
      <c r="AL46" s="906">
        <f t="shared" si="19"/>
        <v>590.6180093719023</v>
      </c>
      <c r="AM46" s="286">
        <f t="shared" si="20"/>
        <v>0</v>
      </c>
      <c r="AN46" s="906">
        <f t="shared" si="21"/>
        <v>5276.933514410036</v>
      </c>
      <c r="AO46" s="906">
        <f t="shared" si="22"/>
        <v>240.27253390726588</v>
      </c>
      <c r="AP46" s="1072">
        <f t="shared" si="23"/>
        <v>160.18168927151058</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160.18168927151058</v>
      </c>
      <c r="BD46" s="1080">
        <f t="shared" si="33"/>
        <v>0</v>
      </c>
      <c r="BE46" s="301">
        <f t="shared" si="34"/>
        <v>278.80148636617889</v>
      </c>
      <c r="BF46" s="104">
        <v>0</v>
      </c>
      <c r="BG46" s="302">
        <f t="shared" si="35"/>
        <v>278.80148636617889</v>
      </c>
      <c r="BI46" s="300">
        <f t="shared" si="36"/>
        <v>118.6197970946683</v>
      </c>
      <c r="BJ46" s="301">
        <f t="shared" si="37"/>
        <v>160.18168927151058</v>
      </c>
      <c r="BK46" s="1080">
        <f t="shared" si="38"/>
        <v>0</v>
      </c>
      <c r="BL46" s="301">
        <f t="shared" si="39"/>
        <v>278.80148636617889</v>
      </c>
      <c r="BM46" s="104">
        <v>0</v>
      </c>
      <c r="BN46" s="302">
        <f t="shared" si="40"/>
        <v>278.80148636617889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4126.3119353883139</v>
      </c>
      <c r="Y47" s="908">
        <f>Parameters!S148</f>
        <v>0.71500000000000008</v>
      </c>
      <c r="Z47" s="908">
        <f t="shared" si="9"/>
        <v>0.4</v>
      </c>
      <c r="AA47" s="906">
        <f t="shared" si="10"/>
        <v>590.06260676052898</v>
      </c>
      <c r="AB47" s="906">
        <f t="shared" si="11"/>
        <v>590.06260676052898</v>
      </c>
      <c r="AC47" s="286">
        <f t="shared" si="12"/>
        <v>0</v>
      </c>
      <c r="AD47" s="906">
        <f t="shared" si="13"/>
        <v>5609.6370368013177</v>
      </c>
      <c r="AE47" s="906">
        <f t="shared" si="14"/>
        <v>257.35908436924717</v>
      </c>
      <c r="AF47" s="1072">
        <f t="shared" si="15"/>
        <v>171.57272291283144</v>
      </c>
      <c r="AG47" s="1450">
        <f t="shared" si="16"/>
        <v>0.13527885904981399</v>
      </c>
      <c r="AH47" s="914">
        <f>'Baseline data (from input)'!AS33*AG47</f>
        <v>4126.3119353883139</v>
      </c>
      <c r="AI47" s="908">
        <f>Parameters!S148</f>
        <v>0.71500000000000008</v>
      </c>
      <c r="AJ47" s="908">
        <f t="shared" si="17"/>
        <v>0.4</v>
      </c>
      <c r="AK47" s="906">
        <f t="shared" si="18"/>
        <v>590.06260676052898</v>
      </c>
      <c r="AL47" s="906">
        <f t="shared" si="19"/>
        <v>590.06260676052898</v>
      </c>
      <c r="AM47" s="286">
        <f t="shared" si="20"/>
        <v>0</v>
      </c>
      <c r="AN47" s="906">
        <f t="shared" si="21"/>
        <v>5609.6370368013177</v>
      </c>
      <c r="AO47" s="906">
        <f t="shared" si="22"/>
        <v>257.35908436924717</v>
      </c>
      <c r="AP47" s="1072">
        <f t="shared" si="23"/>
        <v>171.57272291283144</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171.57272291283144</v>
      </c>
      <c r="BD47" s="1080">
        <f t="shared" si="33"/>
        <v>0</v>
      </c>
      <c r="BE47" s="301">
        <f t="shared" si="34"/>
        <v>299.62888958251085</v>
      </c>
      <c r="BF47" s="104">
        <v>0</v>
      </c>
      <c r="BG47" s="302">
        <f t="shared" si="35"/>
        <v>299.62888958251085</v>
      </c>
      <c r="BI47" s="300">
        <f t="shared" si="36"/>
        <v>128.05616666967944</v>
      </c>
      <c r="BJ47" s="301">
        <f t="shared" si="37"/>
        <v>171.57272291283144</v>
      </c>
      <c r="BK47" s="1080">
        <f t="shared" si="38"/>
        <v>0</v>
      </c>
      <c r="BL47" s="301">
        <f t="shared" si="39"/>
        <v>299.62888958251085</v>
      </c>
      <c r="BM47" s="104">
        <v>0</v>
      </c>
      <c r="BN47" s="302">
        <f t="shared" si="40"/>
        <v>299.62888958251085</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4250.7016291704967</v>
      </c>
      <c r="Y48" s="908">
        <f>Parameters!S149</f>
        <v>0.71500000000000008</v>
      </c>
      <c r="Z48" s="908">
        <f t="shared" si="9"/>
        <v>0.4</v>
      </c>
      <c r="AA48" s="906">
        <f t="shared" si="10"/>
        <v>607.85033297138114</v>
      </c>
      <c r="AB48" s="906">
        <f t="shared" si="11"/>
        <v>607.85033297138114</v>
      </c>
      <c r="AC48" s="286">
        <f t="shared" si="12"/>
        <v>0</v>
      </c>
      <c r="AD48" s="906">
        <f t="shared" si="13"/>
        <v>5943.9021431457895</v>
      </c>
      <c r="AE48" s="906">
        <f t="shared" si="14"/>
        <v>273.58522662690956</v>
      </c>
      <c r="AF48" s="1072">
        <f t="shared" si="15"/>
        <v>182.39015108460637</v>
      </c>
      <c r="AG48" s="1450">
        <f t="shared" si="16"/>
        <v>0.13527885904981399</v>
      </c>
      <c r="AH48" s="914">
        <f>'Baseline data (from input)'!AS34*AG48</f>
        <v>4250.7016291704967</v>
      </c>
      <c r="AI48" s="908">
        <f>Parameters!S149</f>
        <v>0.71500000000000008</v>
      </c>
      <c r="AJ48" s="908">
        <f t="shared" si="17"/>
        <v>0.4</v>
      </c>
      <c r="AK48" s="906">
        <f t="shared" si="18"/>
        <v>607.85033297138114</v>
      </c>
      <c r="AL48" s="906">
        <f t="shared" si="19"/>
        <v>607.85033297138114</v>
      </c>
      <c r="AM48" s="286">
        <f t="shared" si="20"/>
        <v>0</v>
      </c>
      <c r="AN48" s="906">
        <f t="shared" si="21"/>
        <v>5943.9021431457895</v>
      </c>
      <c r="AO48" s="906">
        <f t="shared" si="22"/>
        <v>273.58522662690956</v>
      </c>
      <c r="AP48" s="1072">
        <f t="shared" si="23"/>
        <v>182.39015108460637</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182.39015108460637</v>
      </c>
      <c r="BD48" s="1080">
        <f t="shared" si="33"/>
        <v>0</v>
      </c>
      <c r="BE48" s="301">
        <f t="shared" si="34"/>
        <v>319.74656310350917</v>
      </c>
      <c r="BF48" s="104">
        <v>0</v>
      </c>
      <c r="BG48" s="302">
        <f t="shared" si="35"/>
        <v>319.74656310350917</v>
      </c>
      <c r="BI48" s="300">
        <f t="shared" si="36"/>
        <v>137.35641201890277</v>
      </c>
      <c r="BJ48" s="301">
        <f t="shared" si="37"/>
        <v>182.39015108460637</v>
      </c>
      <c r="BK48" s="1080">
        <f t="shared" si="38"/>
        <v>0</v>
      </c>
      <c r="BL48" s="301">
        <f t="shared" si="39"/>
        <v>319.74656310350917</v>
      </c>
      <c r="BM48" s="104">
        <v>0</v>
      </c>
      <c r="BN48" s="302">
        <f t="shared" si="40"/>
        <v>319.74656310350917</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4411.8246364609513</v>
      </c>
      <c r="Y49" s="908">
        <f>Parameters!S150</f>
        <v>0.71500000000000008</v>
      </c>
      <c r="Z49" s="908">
        <f t="shared" si="9"/>
        <v>0.4</v>
      </c>
      <c r="AA49" s="906">
        <f t="shared" si="10"/>
        <v>630.89092301391611</v>
      </c>
      <c r="AB49" s="906">
        <f t="shared" si="11"/>
        <v>630.89092301391611</v>
      </c>
      <c r="AC49" s="286">
        <f t="shared" si="12"/>
        <v>0</v>
      </c>
      <c r="AD49" s="906">
        <f t="shared" si="13"/>
        <v>6284.9055379270458</v>
      </c>
      <c r="AE49" s="906">
        <f t="shared" si="14"/>
        <v>289.88752823265952</v>
      </c>
      <c r="AF49" s="1072">
        <f t="shared" si="15"/>
        <v>193.25835215510634</v>
      </c>
      <c r="AG49" s="1450">
        <f t="shared" si="16"/>
        <v>0.13527885904981399</v>
      </c>
      <c r="AH49" s="914">
        <f>'Baseline data (from input)'!AS35*AG49</f>
        <v>4411.8246364609513</v>
      </c>
      <c r="AI49" s="908">
        <f>Parameters!S150</f>
        <v>0.71500000000000008</v>
      </c>
      <c r="AJ49" s="908">
        <f t="shared" si="17"/>
        <v>0.4</v>
      </c>
      <c r="AK49" s="906">
        <f t="shared" si="18"/>
        <v>630.89092301391611</v>
      </c>
      <c r="AL49" s="906">
        <f t="shared" si="19"/>
        <v>630.89092301391611</v>
      </c>
      <c r="AM49" s="286">
        <f t="shared" si="20"/>
        <v>0</v>
      </c>
      <c r="AN49" s="906">
        <f t="shared" si="21"/>
        <v>6284.9055379270458</v>
      </c>
      <c r="AO49" s="906">
        <f t="shared" si="22"/>
        <v>289.88752823265952</v>
      </c>
      <c r="AP49" s="1072">
        <f t="shared" si="23"/>
        <v>193.25835215510634</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193.25835215510634</v>
      </c>
      <c r="BD49" s="1080">
        <f t="shared" si="33"/>
        <v>0</v>
      </c>
      <c r="BE49" s="301">
        <f t="shared" si="34"/>
        <v>339.79215059003616</v>
      </c>
      <c r="BF49" s="104">
        <v>0</v>
      </c>
      <c r="BG49" s="302">
        <f t="shared" si="35"/>
        <v>339.79215059003616</v>
      </c>
      <c r="BI49" s="300">
        <f t="shared" si="36"/>
        <v>146.53379843492979</v>
      </c>
      <c r="BJ49" s="301">
        <f t="shared" si="37"/>
        <v>193.25835215510634</v>
      </c>
      <c r="BK49" s="1080">
        <f t="shared" si="38"/>
        <v>0</v>
      </c>
      <c r="BL49" s="301">
        <f t="shared" si="39"/>
        <v>339.79215059003616</v>
      </c>
      <c r="BM49" s="104">
        <v>0</v>
      </c>
      <c r="BN49" s="302">
        <f t="shared" si="40"/>
        <v>339.79215059003616</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4703.9132401423676</v>
      </c>
      <c r="Y50" s="908">
        <f>Parameters!S151</f>
        <v>0.71500000000000008</v>
      </c>
      <c r="Z50" s="908">
        <f t="shared" si="9"/>
        <v>0.4</v>
      </c>
      <c r="AA50" s="906">
        <f t="shared" si="10"/>
        <v>672.6595933403587</v>
      </c>
      <c r="AB50" s="906">
        <f t="shared" si="11"/>
        <v>672.6595933403587</v>
      </c>
      <c r="AC50" s="286">
        <f t="shared" si="12"/>
        <v>0</v>
      </c>
      <c r="AD50" s="906">
        <f t="shared" si="13"/>
        <v>6651.0466712240532</v>
      </c>
      <c r="AE50" s="906">
        <f t="shared" si="14"/>
        <v>306.51846004335158</v>
      </c>
      <c r="AF50" s="1072">
        <f t="shared" si="15"/>
        <v>204.34564002890104</v>
      </c>
      <c r="AG50" s="1450">
        <f t="shared" si="16"/>
        <v>0.13527885904981399</v>
      </c>
      <c r="AH50" s="914">
        <f>'Baseline data (from input)'!AS36*AG50</f>
        <v>4703.9132401423676</v>
      </c>
      <c r="AI50" s="908">
        <f>Parameters!S151</f>
        <v>0.71500000000000008</v>
      </c>
      <c r="AJ50" s="908">
        <f t="shared" si="17"/>
        <v>0.4</v>
      </c>
      <c r="AK50" s="906">
        <f t="shared" si="18"/>
        <v>672.6595933403587</v>
      </c>
      <c r="AL50" s="906">
        <f t="shared" si="19"/>
        <v>672.6595933403587</v>
      </c>
      <c r="AM50" s="286">
        <f t="shared" si="20"/>
        <v>0</v>
      </c>
      <c r="AN50" s="906">
        <f t="shared" si="21"/>
        <v>6651.0466712240532</v>
      </c>
      <c r="AO50" s="906">
        <f t="shared" si="22"/>
        <v>306.51846004335158</v>
      </c>
      <c r="AP50" s="1072">
        <f t="shared" si="23"/>
        <v>204.34564002890104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204.34564002890104</v>
      </c>
      <c r="BD50" s="1080">
        <f t="shared" si="33"/>
        <v>0</v>
      </c>
      <c r="BE50" s="301">
        <f t="shared" si="34"/>
        <v>359.96224676782379</v>
      </c>
      <c r="BF50" s="104">
        <v>0</v>
      </c>
      <c r="BG50" s="302">
        <f t="shared" si="35"/>
        <v>359.96224676782379</v>
      </c>
      <c r="BI50" s="300">
        <f t="shared" si="36"/>
        <v>155.61660673892274</v>
      </c>
      <c r="BJ50" s="301">
        <f t="shared" si="37"/>
        <v>204.34564002890104</v>
      </c>
      <c r="BK50" s="1080">
        <f t="shared" si="38"/>
        <v>0</v>
      </c>
      <c r="BL50" s="301">
        <f t="shared" si="39"/>
        <v>359.96224676782379</v>
      </c>
      <c r="BM50" s="104">
        <v>0</v>
      </c>
      <c r="BN50" s="302">
        <f t="shared" si="40"/>
        <v>359.96224676782379</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4956.0776773639745</v>
      </c>
      <c r="Y51" s="908">
        <f>Parameters!S152</f>
        <v>0.71500000000000008</v>
      </c>
      <c r="Z51" s="908">
        <f t="shared" si="9"/>
        <v>0.4</v>
      </c>
      <c r="AA51" s="906">
        <f t="shared" si="10"/>
        <v>708.71910786304852</v>
      </c>
      <c r="AB51" s="906">
        <f t="shared" si="11"/>
        <v>708.71910786304852</v>
      </c>
      <c r="AC51" s="286">
        <f t="shared" si="12"/>
        <v>0</v>
      </c>
      <c r="AD51" s="906">
        <f t="shared" si="13"/>
        <v>7035.3904052588941</v>
      </c>
      <c r="AE51" s="906">
        <f t="shared" si="14"/>
        <v>324.37537382820739</v>
      </c>
      <c r="AF51" s="1072">
        <f t="shared" si="15"/>
        <v>216.25024921880492</v>
      </c>
      <c r="AG51" s="1450">
        <f t="shared" si="16"/>
        <v>0.13527885904981399</v>
      </c>
      <c r="AH51" s="914">
        <f>'Baseline data (from input)'!AS37*AG51</f>
        <v>4956.0776773639745</v>
      </c>
      <c r="AI51" s="908">
        <f>Parameters!S152</f>
        <v>0.71500000000000008</v>
      </c>
      <c r="AJ51" s="908">
        <f t="shared" si="17"/>
        <v>0.4</v>
      </c>
      <c r="AK51" s="906">
        <f t="shared" si="18"/>
        <v>708.71910786304852</v>
      </c>
      <c r="AL51" s="906">
        <f t="shared" si="19"/>
        <v>708.71910786304852</v>
      </c>
      <c r="AM51" s="286">
        <f t="shared" si="20"/>
        <v>0</v>
      </c>
      <c r="AN51" s="906">
        <f t="shared" si="21"/>
        <v>7035.3904052588941</v>
      </c>
      <c r="AO51" s="906">
        <f t="shared" si="22"/>
        <v>324.37537382820739</v>
      </c>
      <c r="AP51" s="1072">
        <f t="shared" si="23"/>
        <v>216.25024921880492</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216.25024921880492</v>
      </c>
      <c r="BD51" s="1080">
        <f t="shared" si="33"/>
        <v>0</v>
      </c>
      <c r="BE51" s="301">
        <f t="shared" si="34"/>
        <v>380.88921653793648</v>
      </c>
      <c r="BF51" s="104">
        <v>0</v>
      </c>
      <c r="BG51" s="302">
        <f t="shared" si="35"/>
        <v>380.88921653793648</v>
      </c>
      <c r="BI51" s="300">
        <f t="shared" si="36"/>
        <v>164.63896731913152</v>
      </c>
      <c r="BJ51" s="301">
        <f t="shared" si="37"/>
        <v>216.25024921880492</v>
      </c>
      <c r="BK51" s="1080">
        <f t="shared" si="38"/>
        <v>0</v>
      </c>
      <c r="BL51" s="301">
        <f t="shared" si="39"/>
        <v>380.88921653793648</v>
      </c>
      <c r="BM51" s="104">
        <v>0</v>
      </c>
      <c r="BN51" s="302">
        <f t="shared" si="40"/>
        <v>380.88921653793648</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4937.076533044492</v>
      </c>
      <c r="Y52" s="908">
        <f>Parameters!S153</f>
        <v>0.71500000000000008</v>
      </c>
      <c r="Z52" s="908">
        <f t="shared" si="9"/>
        <v>0.4</v>
      </c>
      <c r="AA52" s="906">
        <f t="shared" si="10"/>
        <v>706.00194422536242</v>
      </c>
      <c r="AB52" s="906">
        <f t="shared" si="11"/>
        <v>706.00194422536242</v>
      </c>
      <c r="AC52" s="286">
        <f t="shared" si="12"/>
        <v>0</v>
      </c>
      <c r="AD52" s="906">
        <f t="shared" si="13"/>
        <v>7398.2723105576251</v>
      </c>
      <c r="AE52" s="906">
        <f t="shared" si="14"/>
        <v>343.12003892663114</v>
      </c>
      <c r="AF52" s="1072">
        <f t="shared" si="15"/>
        <v>228.74669261775409</v>
      </c>
      <c r="AG52" s="1450">
        <f t="shared" si="16"/>
        <v>0.13527885904981399</v>
      </c>
      <c r="AH52" s="914">
        <f>'Baseline data (from input)'!AS38*AG52</f>
        <v>4937.076533044492</v>
      </c>
      <c r="AI52" s="908">
        <f>Parameters!S153</f>
        <v>0.71500000000000008</v>
      </c>
      <c r="AJ52" s="908">
        <f t="shared" si="17"/>
        <v>0.4</v>
      </c>
      <c r="AK52" s="906">
        <f t="shared" si="18"/>
        <v>706.00194422536242</v>
      </c>
      <c r="AL52" s="906">
        <f t="shared" si="19"/>
        <v>706.00194422536242</v>
      </c>
      <c r="AM52" s="286">
        <f t="shared" si="20"/>
        <v>0</v>
      </c>
      <c r="AN52" s="906">
        <f t="shared" si="21"/>
        <v>7398.2723105576251</v>
      </c>
      <c r="AO52" s="906">
        <f t="shared" si="22"/>
        <v>343.12003892663114</v>
      </c>
      <c r="AP52" s="1072">
        <f t="shared" si="23"/>
        <v>228.74669261775409</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228.74669261775409</v>
      </c>
      <c r="BD52" s="1080">
        <f t="shared" si="33"/>
        <v>0</v>
      </c>
      <c r="BE52" s="301">
        <f t="shared" si="34"/>
        <v>402.37702660662853</v>
      </c>
      <c r="BF52" s="104">
        <v>0</v>
      </c>
      <c r="BG52" s="302">
        <f t="shared" si="35"/>
        <v>402.37702660662853</v>
      </c>
      <c r="BI52" s="300">
        <f t="shared" si="36"/>
        <v>173.63033398887444</v>
      </c>
      <c r="BJ52" s="301">
        <f t="shared" si="37"/>
        <v>228.74669261775409</v>
      </c>
      <c r="BK52" s="1080">
        <f t="shared" si="38"/>
        <v>0</v>
      </c>
      <c r="BL52" s="301">
        <f t="shared" si="39"/>
        <v>402.37702660662853</v>
      </c>
      <c r="BM52" s="104">
        <v>0</v>
      </c>
      <c r="BN52" s="302">
        <f t="shared" si="40"/>
        <v>402.37702660662853</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4845.9112189982952</v>
      </c>
      <c r="Y53" s="908">
        <f>Parameters!S154</f>
        <v>0.71500000000000008</v>
      </c>
      <c r="Z53" s="908">
        <f t="shared" si="9"/>
        <v>0.4</v>
      </c>
      <c r="AA53" s="906">
        <f t="shared" si="10"/>
        <v>692.96530431675637</v>
      </c>
      <c r="AB53" s="906">
        <f t="shared" si="11"/>
        <v>692.96530431675637</v>
      </c>
      <c r="AC53" s="286">
        <f t="shared" si="12"/>
        <v>0</v>
      </c>
      <c r="AD53" s="906">
        <f t="shared" si="13"/>
        <v>7730.4196165880539</v>
      </c>
      <c r="AE53" s="906">
        <f t="shared" si="14"/>
        <v>360.81799828632762</v>
      </c>
      <c r="AF53" s="1072">
        <f t="shared" si="15"/>
        <v>240.54533219088509</v>
      </c>
      <c r="AG53" s="1450">
        <f t="shared" si="16"/>
        <v>0.13527885904981399</v>
      </c>
      <c r="AH53" s="914">
        <f>'Baseline data (from input)'!AS39*AG53</f>
        <v>4845.9112189982952</v>
      </c>
      <c r="AI53" s="908">
        <f>Parameters!S154</f>
        <v>0.71500000000000008</v>
      </c>
      <c r="AJ53" s="908">
        <f t="shared" si="17"/>
        <v>0.4</v>
      </c>
      <c r="AK53" s="906">
        <f t="shared" si="18"/>
        <v>692.96530431675637</v>
      </c>
      <c r="AL53" s="906">
        <f t="shared" si="19"/>
        <v>692.96530431675637</v>
      </c>
      <c r="AM53" s="286">
        <f t="shared" si="20"/>
        <v>0</v>
      </c>
      <c r="AN53" s="906">
        <f t="shared" si="21"/>
        <v>7730.4196165880539</v>
      </c>
      <c r="AO53" s="906">
        <f t="shared" si="22"/>
        <v>360.81799828632762</v>
      </c>
      <c r="AP53" s="1072">
        <f t="shared" si="23"/>
        <v>240.54533219088509</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240.54533219088509</v>
      </c>
      <c r="BD53" s="1080">
        <f t="shared" si="33"/>
        <v>0</v>
      </c>
      <c r="BE53" s="301">
        <f t="shared" si="34"/>
        <v>423.16044185342292</v>
      </c>
      <c r="BF53" s="104">
        <v>0</v>
      </c>
      <c r="BG53" s="302">
        <f t="shared" si="35"/>
        <v>423.16044185342292</v>
      </c>
      <c r="BI53" s="300">
        <f t="shared" si="36"/>
        <v>182.61510966253783</v>
      </c>
      <c r="BJ53" s="301">
        <f t="shared" si="37"/>
        <v>240.54533219088509</v>
      </c>
      <c r="BK53" s="1080">
        <f t="shared" si="38"/>
        <v>0</v>
      </c>
      <c r="BL53" s="301">
        <f t="shared" si="39"/>
        <v>423.16044185342292</v>
      </c>
      <c r="BM53" s="104">
        <v>0</v>
      </c>
      <c r="BN53" s="302">
        <f t="shared" si="40"/>
        <v>423.16044185342292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5093.0098004915999</v>
      </c>
      <c r="Y54" s="908">
        <f>Parameters!S155</f>
        <v>0.71500000000000008</v>
      </c>
      <c r="Z54" s="908">
        <f t="shared" si="9"/>
        <v>0.4</v>
      </c>
      <c r="AA54" s="906">
        <f t="shared" si="10"/>
        <v>728.30040147029888</v>
      </c>
      <c r="AB54" s="906">
        <f t="shared" si="11"/>
        <v>728.30040147029888</v>
      </c>
      <c r="AC54" s="286">
        <f t="shared" si="12"/>
        <v>0</v>
      </c>
      <c r="AD54" s="906">
        <f t="shared" si="13"/>
        <v>8081.7030045063839</v>
      </c>
      <c r="AE54" s="906">
        <f t="shared" si="14"/>
        <v>377.01701355196911</v>
      </c>
      <c r="AF54" s="1072">
        <f t="shared" si="15"/>
        <v>251.34467570131275</v>
      </c>
      <c r="AG54" s="1450">
        <f t="shared" si="16"/>
        <v>0.13527885904981399</v>
      </c>
      <c r="AH54" s="914">
        <f>'Baseline data (from input)'!AS40*AG54</f>
        <v>5093.0098004915999</v>
      </c>
      <c r="AI54" s="908">
        <f>Parameters!S155</f>
        <v>0.71500000000000008</v>
      </c>
      <c r="AJ54" s="908">
        <f t="shared" si="17"/>
        <v>0.4</v>
      </c>
      <c r="AK54" s="906">
        <f t="shared" si="18"/>
        <v>728.30040147029888</v>
      </c>
      <c r="AL54" s="906">
        <f t="shared" si="19"/>
        <v>728.30040147029888</v>
      </c>
      <c r="AM54" s="286">
        <f t="shared" si="20"/>
        <v>0</v>
      </c>
      <c r="AN54" s="906">
        <f t="shared" si="21"/>
        <v>8081.7030045063839</v>
      </c>
      <c r="AO54" s="906">
        <f t="shared" si="22"/>
        <v>377.01701355196911</v>
      </c>
      <c r="AP54" s="1072">
        <f t="shared" si="23"/>
        <v>251.34467570131275</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251.34467570131275</v>
      </c>
      <c r="BD54" s="1080">
        <f t="shared" si="33"/>
        <v>0</v>
      </c>
      <c r="BE54" s="301">
        <f t="shared" si="34"/>
        <v>442.95937560188946</v>
      </c>
      <c r="BF54" s="104">
        <v>0</v>
      </c>
      <c r="BG54" s="302">
        <f t="shared" si="35"/>
        <v>442.95937560188946</v>
      </c>
      <c r="BI54" s="300">
        <f t="shared" si="36"/>
        <v>191.61469990057671</v>
      </c>
      <c r="BJ54" s="301">
        <f t="shared" si="37"/>
        <v>251.34467570131275</v>
      </c>
      <c r="BK54" s="1080">
        <f t="shared" si="38"/>
        <v>0</v>
      </c>
      <c r="BL54" s="301">
        <f t="shared" si="39"/>
        <v>442.95937560188946</v>
      </c>
      <c r="BM54" s="104">
        <v>0</v>
      </c>
      <c r="BN54" s="302">
        <f t="shared" si="40"/>
        <v>442.95937560188946</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5031.3088159515701</v>
      </c>
      <c r="Y55" s="908">
        <f>Parameters!S156</f>
        <v>0.71500000000000008</v>
      </c>
      <c r="Z55" s="908">
        <f t="shared" si="9"/>
        <v>0.4</v>
      </c>
      <c r="AA55" s="906">
        <f t="shared" si="10"/>
        <v>719.47716068107457</v>
      </c>
      <c r="AB55" s="906">
        <f t="shared" si="11"/>
        <v>719.47716068107457</v>
      </c>
      <c r="AC55" s="286">
        <f t="shared" si="12"/>
        <v>0</v>
      </c>
      <c r="AD55" s="906">
        <f t="shared" si="13"/>
        <v>8407.0308586433748</v>
      </c>
      <c r="AE55" s="906">
        <f t="shared" si="14"/>
        <v>394.14930654408499</v>
      </c>
      <c r="AF55" s="1072">
        <f t="shared" si="15"/>
        <v>262.76620436272333</v>
      </c>
      <c r="AG55" s="1450">
        <f t="shared" si="16"/>
        <v>0.13527885904981399</v>
      </c>
      <c r="AH55" s="914">
        <f>'Baseline data (from input)'!AS41*AG55</f>
        <v>5031.3088159515701</v>
      </c>
      <c r="AI55" s="908">
        <f>Parameters!S156</f>
        <v>0.71500000000000008</v>
      </c>
      <c r="AJ55" s="908">
        <f t="shared" si="17"/>
        <v>0.4</v>
      </c>
      <c r="AK55" s="906">
        <f t="shared" si="18"/>
        <v>719.47716068107457</v>
      </c>
      <c r="AL55" s="906">
        <f t="shared" si="19"/>
        <v>719.47716068107457</v>
      </c>
      <c r="AM55" s="286">
        <f t="shared" si="20"/>
        <v>0</v>
      </c>
      <c r="AN55" s="906">
        <f t="shared" si="21"/>
        <v>8407.0308586433748</v>
      </c>
      <c r="AO55" s="906">
        <f t="shared" si="22"/>
        <v>394.14930654408499</v>
      </c>
      <c r="AP55" s="1072">
        <f t="shared" si="23"/>
        <v>262.76620436272333</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262.76620436272333</v>
      </c>
      <c r="BD55" s="1080">
        <f t="shared" si="33"/>
        <v>0</v>
      </c>
      <c r="BE55" s="301">
        <f t="shared" si="34"/>
        <v>463.41205624516158</v>
      </c>
      <c r="BF55" s="104">
        <v>0</v>
      </c>
      <c r="BG55" s="302">
        <f t="shared" si="35"/>
        <v>463.41205624516158</v>
      </c>
      <c r="BI55" s="300">
        <f t="shared" si="36"/>
        <v>200.64585188243828</v>
      </c>
      <c r="BJ55" s="301">
        <f t="shared" si="37"/>
        <v>262.76620436272333</v>
      </c>
      <c r="BK55" s="1080">
        <f t="shared" si="38"/>
        <v>0</v>
      </c>
      <c r="BL55" s="301">
        <f t="shared" si="39"/>
        <v>463.41205624516158</v>
      </c>
      <c r="BM55" s="104">
        <v>0</v>
      </c>
      <c r="BN55" s="302">
        <f t="shared" si="40"/>
        <v>463.41205624516158</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5032.2061387093881</v>
      </c>
      <c r="Y56" s="908">
        <f>Parameters!S157</f>
        <v>0.71500000000000008</v>
      </c>
      <c r="Z56" s="908">
        <f t="shared" si="9"/>
        <v>0.4</v>
      </c>
      <c r="AA56" s="906">
        <f t="shared" si="10"/>
        <v>719.60547783544268</v>
      </c>
      <c r="AB56" s="906">
        <f t="shared" si="11"/>
        <v>719.60547783544268</v>
      </c>
      <c r="AC56" s="286">
        <f t="shared" si="12"/>
        <v>0</v>
      </c>
      <c r="AD56" s="906">
        <f t="shared" si="13"/>
        <v>8716.6206032625232</v>
      </c>
      <c r="AE56" s="906">
        <f t="shared" si="14"/>
        <v>410.01573321629377</v>
      </c>
      <c r="AF56" s="1072">
        <f t="shared" si="15"/>
        <v>273.34382214419583</v>
      </c>
      <c r="AG56" s="1450">
        <f t="shared" si="16"/>
        <v>0.13527885904981399</v>
      </c>
      <c r="AH56" s="914">
        <f>'Baseline data (from input)'!AS42*AG56</f>
        <v>5032.2061387093881</v>
      </c>
      <c r="AI56" s="908">
        <f>Parameters!S157</f>
        <v>0.71500000000000008</v>
      </c>
      <c r="AJ56" s="908">
        <f t="shared" si="17"/>
        <v>0.4</v>
      </c>
      <c r="AK56" s="906">
        <f t="shared" si="18"/>
        <v>719.60547783544268</v>
      </c>
      <c r="AL56" s="906">
        <f t="shared" si="19"/>
        <v>719.60547783544268</v>
      </c>
      <c r="AM56" s="286">
        <f t="shared" si="20"/>
        <v>0</v>
      </c>
      <c r="AN56" s="906">
        <f t="shared" si="21"/>
        <v>8716.6206032625232</v>
      </c>
      <c r="AO56" s="906">
        <f t="shared" si="22"/>
        <v>410.01573321629377</v>
      </c>
      <c r="AP56" s="1072">
        <f t="shared" si="23"/>
        <v>273.34382214419583</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273.34382214419583</v>
      </c>
      <c r="BD56" s="1080">
        <f t="shared" si="33"/>
        <v>0</v>
      </c>
      <c r="BE56" s="301">
        <f t="shared" si="34"/>
        <v>483.06410133942916</v>
      </c>
      <c r="BF56" s="104">
        <v>0</v>
      </c>
      <c r="BG56" s="302">
        <f t="shared" si="35"/>
        <v>483.06410133942916</v>
      </c>
      <c r="BI56" s="300">
        <f t="shared" si="36"/>
        <v>209.7202791952333</v>
      </c>
      <c r="BJ56" s="301">
        <f t="shared" si="37"/>
        <v>273.34382214419583</v>
      </c>
      <c r="BK56" s="1080">
        <f t="shared" si="38"/>
        <v>0</v>
      </c>
      <c r="BL56" s="301">
        <f t="shared" si="39"/>
        <v>483.06410133942916</v>
      </c>
      <c r="BM56" s="104">
        <v>0</v>
      </c>
      <c r="BN56" s="302">
        <f t="shared" si="40"/>
        <v>483.06410133942916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5137.9194654585808</v>
      </c>
      <c r="Y57" s="908">
        <f>Parameters!S158</f>
        <v>0.71500000000000008</v>
      </c>
      <c r="Z57" s="908">
        <f t="shared" si="9"/>
        <v>0.4</v>
      </c>
      <c r="AA57" s="906">
        <f t="shared" si="10"/>
        <v>734.72248356057719</v>
      </c>
      <c r="AB57" s="906">
        <f t="shared" si="11"/>
        <v>734.72248356057719</v>
      </c>
      <c r="AC57" s="286">
        <f t="shared" si="12"/>
        <v>0</v>
      </c>
      <c r="AD57" s="906">
        <f t="shared" si="13"/>
        <v>9026.228483593055</v>
      </c>
      <c r="AE57" s="906">
        <f t="shared" si="14"/>
        <v>425.11460323004661</v>
      </c>
      <c r="AF57" s="1072">
        <f t="shared" si="15"/>
        <v>283.40973548669774</v>
      </c>
      <c r="AG57" s="1450">
        <f t="shared" si="16"/>
        <v>0.13527885904981399</v>
      </c>
      <c r="AH57" s="914">
        <f>'Baseline data (from input)'!AS43*AG57</f>
        <v>5137.9194654585808</v>
      </c>
      <c r="AI57" s="908">
        <f>Parameters!S158</f>
        <v>0.71500000000000008</v>
      </c>
      <c r="AJ57" s="908">
        <f t="shared" si="17"/>
        <v>0.4</v>
      </c>
      <c r="AK57" s="906">
        <f t="shared" si="18"/>
        <v>734.72248356057719</v>
      </c>
      <c r="AL57" s="906">
        <f t="shared" si="19"/>
        <v>734.72248356057719</v>
      </c>
      <c r="AM57" s="286">
        <f t="shared" si="20"/>
        <v>0</v>
      </c>
      <c r="AN57" s="906">
        <f t="shared" si="21"/>
        <v>9026.228483593055</v>
      </c>
      <c r="AO57" s="906">
        <f t="shared" si="22"/>
        <v>425.11460323004661</v>
      </c>
      <c r="AP57" s="1072">
        <f t="shared" si="23"/>
        <v>283.40973548669774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283.40973548669774</v>
      </c>
      <c r="BD57" s="1080">
        <f t="shared" si="33"/>
        <v>0</v>
      </c>
      <c r="BE57" s="301">
        <f t="shared" si="34"/>
        <v>502.25163079537447</v>
      </c>
      <c r="BF57" s="104">
        <v>0</v>
      </c>
      <c r="BG57" s="302">
        <f t="shared" si="35"/>
        <v>502.25163079537447</v>
      </c>
      <c r="BI57" s="300">
        <f t="shared" si="36"/>
        <v>218.84189530867673</v>
      </c>
      <c r="BJ57" s="301">
        <f t="shared" si="37"/>
        <v>283.40973548669774</v>
      </c>
      <c r="BK57" s="1080">
        <f t="shared" si="38"/>
        <v>0</v>
      </c>
      <c r="BL57" s="301">
        <f t="shared" si="39"/>
        <v>502.25163079537447</v>
      </c>
      <c r="BM57" s="104">
        <v>0</v>
      </c>
      <c r="BN57" s="302">
        <f t="shared" si="40"/>
        <v>502.25163079537447</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5353.7188932687131</v>
      </c>
      <c r="Y58" s="908">
        <f>Parameters!S159</f>
        <v>0.71500000000000008</v>
      </c>
      <c r="Z58" s="908">
        <f t="shared" si="9"/>
        <v>0.4</v>
      </c>
      <c r="AA58" s="906">
        <f t="shared" si="10"/>
        <v>765.58180173742619</v>
      </c>
      <c r="AB58" s="906">
        <f t="shared" si="11"/>
        <v>765.58180173742619</v>
      </c>
      <c r="AC58" s="286">
        <f t="shared" si="12"/>
        <v>0</v>
      </c>
      <c r="AD58" s="906">
        <f t="shared" si="13"/>
        <v>9351.5959275976002</v>
      </c>
      <c r="AE58" s="906">
        <f t="shared" si="14"/>
        <v>440.21435773288073</v>
      </c>
      <c r="AF58" s="1072">
        <f t="shared" si="15"/>
        <v>293.47623848858717</v>
      </c>
      <c r="AG58" s="1450">
        <f t="shared" si="16"/>
        <v>0.13527885904981399</v>
      </c>
      <c r="AH58" s="914">
        <f>'Baseline data (from input)'!AS44*AG58</f>
        <v>5353.7188932687131</v>
      </c>
      <c r="AI58" s="908">
        <f>Parameters!S159</f>
        <v>0.71500000000000008</v>
      </c>
      <c r="AJ58" s="908">
        <f t="shared" si="17"/>
        <v>0.4</v>
      </c>
      <c r="AK58" s="906">
        <f t="shared" si="18"/>
        <v>765.58180173742619</v>
      </c>
      <c r="AL58" s="906">
        <f t="shared" si="19"/>
        <v>765.58180173742619</v>
      </c>
      <c r="AM58" s="286">
        <f t="shared" si="20"/>
        <v>0</v>
      </c>
      <c r="AN58" s="906">
        <f t="shared" si="21"/>
        <v>9351.5959275976002</v>
      </c>
      <c r="AO58" s="906">
        <f t="shared" si="22"/>
        <v>440.21435773288073</v>
      </c>
      <c r="AP58" s="1072">
        <f t="shared" si="23"/>
        <v>293.47623848858717</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293.47623848858717</v>
      </c>
      <c r="BD58" s="1080">
        <f t="shared" si="33"/>
        <v>0</v>
      </c>
      <c r="BE58" s="301">
        <f t="shared" si="34"/>
        <v>521.48403488314</v>
      </c>
      <c r="BF58" s="104">
        <v>0</v>
      </c>
      <c r="BG58" s="302">
        <f t="shared" si="35"/>
        <v>521.48403488314</v>
      </c>
      <c r="BI58" s="300">
        <f t="shared" si="36"/>
        <v>228.00779639455286</v>
      </c>
      <c r="BJ58" s="301">
        <f t="shared" si="37"/>
        <v>293.47623848858717</v>
      </c>
      <c r="BK58" s="1080">
        <f t="shared" si="38"/>
        <v>0</v>
      </c>
      <c r="BL58" s="301">
        <f t="shared" si="39"/>
        <v>521.48403488314</v>
      </c>
      <c r="BM58" s="104">
        <v>0</v>
      </c>
      <c r="BN58" s="302">
        <f t="shared" si="40"/>
        <v>521.48403488314</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5481.9289052421027</v>
      </c>
      <c r="Y59" s="908">
        <f>Parameters!S160</f>
        <v>0.71500000000000008</v>
      </c>
      <c r="Z59" s="908">
        <f t="shared" si="9"/>
        <v>0.4</v>
      </c>
      <c r="AA59" s="906">
        <f t="shared" si="10"/>
        <v>783.91583344962078</v>
      </c>
      <c r="AB59" s="906">
        <f t="shared" si="11"/>
        <v>783.91583344962078</v>
      </c>
      <c r="AC59" s="286">
        <f t="shared" si="12"/>
        <v>0</v>
      </c>
      <c r="AD59" s="906">
        <f t="shared" si="13"/>
        <v>9679.4290458215073</v>
      </c>
      <c r="AE59" s="906">
        <f t="shared" si="14"/>
        <v>456.08271522571408</v>
      </c>
      <c r="AF59" s="1072">
        <f t="shared" si="15"/>
        <v>304.05514348380939</v>
      </c>
      <c r="AG59" s="1450">
        <f t="shared" si="16"/>
        <v>0.13527885904981399</v>
      </c>
      <c r="AH59" s="914">
        <f>'Baseline data (from input)'!AS45*AG59</f>
        <v>5481.9289052421027</v>
      </c>
      <c r="AI59" s="908">
        <f>Parameters!S160</f>
        <v>0.71500000000000008</v>
      </c>
      <c r="AJ59" s="908">
        <f t="shared" si="17"/>
        <v>0.4</v>
      </c>
      <c r="AK59" s="906">
        <f t="shared" si="18"/>
        <v>783.91583344962078</v>
      </c>
      <c r="AL59" s="906">
        <f t="shared" si="19"/>
        <v>783.91583344962078</v>
      </c>
      <c r="AM59" s="286">
        <f t="shared" si="20"/>
        <v>0</v>
      </c>
      <c r="AN59" s="906">
        <f t="shared" si="21"/>
        <v>9679.4290458215073</v>
      </c>
      <c r="AO59" s="906">
        <f t="shared" si="22"/>
        <v>456.08271522571408</v>
      </c>
      <c r="AP59" s="1072">
        <f t="shared" si="23"/>
        <v>304.05514348380939</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304.05514348380939</v>
      </c>
      <c r="BD59" s="1080">
        <f t="shared" si="33"/>
        <v>0</v>
      </c>
      <c r="BE59" s="301">
        <f t="shared" si="34"/>
        <v>541.26072527781344</v>
      </c>
      <c r="BF59" s="104">
        <v>0</v>
      </c>
      <c r="BG59" s="302">
        <f t="shared" si="35"/>
        <v>541.26072527781344</v>
      </c>
      <c r="BI59" s="300">
        <f t="shared" si="36"/>
        <v>237.20558179400405</v>
      </c>
      <c r="BJ59" s="301">
        <f t="shared" si="37"/>
        <v>304.05514348380939</v>
      </c>
      <c r="BK59" s="1080">
        <f t="shared" si="38"/>
        <v>0</v>
      </c>
      <c r="BL59" s="301">
        <f t="shared" si="39"/>
        <v>541.26072527781344</v>
      </c>
      <c r="BM59" s="104">
        <v>0</v>
      </c>
      <c r="BN59" s="302">
        <f t="shared" si="40"/>
        <v>541.26072527781344</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5464.50812041274</v>
      </c>
      <c r="Y60" s="908">
        <f>Parameters!S161</f>
        <v>0.71500000000000008</v>
      </c>
      <c r="Z60" s="908">
        <f t="shared" si="9"/>
        <v>0.4</v>
      </c>
      <c r="AA60" s="906">
        <f t="shared" si="10"/>
        <v>781.42466121902203</v>
      </c>
      <c r="AB60" s="906">
        <f t="shared" si="11"/>
        <v>781.42466121902203</v>
      </c>
      <c r="AC60" s="286">
        <f t="shared" si="12"/>
        <v>0</v>
      </c>
      <c r="AD60" s="906">
        <f t="shared" si="13"/>
        <v>9988.7823819713103</v>
      </c>
      <c r="AE60" s="906">
        <f t="shared" si="14"/>
        <v>472.07132506921954</v>
      </c>
      <c r="AF60" s="1072">
        <f t="shared" si="15"/>
        <v>314.71421671281303</v>
      </c>
      <c r="AG60" s="1450">
        <f t="shared" si="16"/>
        <v>0.13527885904981399</v>
      </c>
      <c r="AH60" s="914">
        <f>'Baseline data (from input)'!AS46*AG60</f>
        <v>5464.50812041274</v>
      </c>
      <c r="AI60" s="908">
        <f>Parameters!S161</f>
        <v>0.71500000000000008</v>
      </c>
      <c r="AJ60" s="908">
        <f t="shared" si="17"/>
        <v>0.4</v>
      </c>
      <c r="AK60" s="906">
        <f t="shared" si="18"/>
        <v>781.42466121902203</v>
      </c>
      <c r="AL60" s="906">
        <f t="shared" si="19"/>
        <v>781.42466121902203</v>
      </c>
      <c r="AM60" s="286">
        <f t="shared" si="20"/>
        <v>0</v>
      </c>
      <c r="AN60" s="906">
        <f t="shared" si="21"/>
        <v>9988.7823819713103</v>
      </c>
      <c r="AO60" s="906">
        <f t="shared" si="22"/>
        <v>472.07132506921954</v>
      </c>
      <c r="AP60" s="1072">
        <f t="shared" si="23"/>
        <v>314.71421671281303</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314.71421671281303</v>
      </c>
      <c r="BD60" s="1080">
        <f t="shared" si="33"/>
        <v>0</v>
      </c>
      <c r="BE60" s="301">
        <f t="shared" si="34"/>
        <v>561.12863629949061</v>
      </c>
      <c r="BF60" s="104">
        <v>0</v>
      </c>
      <c r="BG60" s="302">
        <f t="shared" si="35"/>
        <v>561.12863629949061</v>
      </c>
      <c r="BI60" s="300">
        <f t="shared" si="36"/>
        <v>246.41441958667755</v>
      </c>
      <c r="BJ60" s="301">
        <f t="shared" si="37"/>
        <v>314.71421671281303</v>
      </c>
      <c r="BK60" s="1080">
        <f t="shared" si="38"/>
        <v>0</v>
      </c>
      <c r="BL60" s="301">
        <f t="shared" si="39"/>
        <v>561.12863629949061</v>
      </c>
      <c r="BM60" s="104">
        <v>0</v>
      </c>
      <c r="BN60" s="302">
        <f t="shared" si="40"/>
        <v>561.12863629949061</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5408.8674127689983</v>
      </c>
      <c r="Y61" s="908">
        <f>Parameters!S162</f>
        <v>0.71500000000000008</v>
      </c>
      <c r="Z61" s="908">
        <f t="shared" si="9"/>
        <v>0.4</v>
      </c>
      <c r="AA61" s="906">
        <f t="shared" si="10"/>
        <v>773.46804002596696</v>
      </c>
      <c r="AB61" s="906">
        <f t="shared" si="11"/>
        <v>773.46804002596696</v>
      </c>
      <c r="AC61" s="286">
        <f t="shared" si="12"/>
        <v>0</v>
      </c>
      <c r="AD61" s="906">
        <f t="shared" si="13"/>
        <v>10275.091756691409</v>
      </c>
      <c r="AE61" s="906">
        <f t="shared" si="14"/>
        <v>487.15866530586948</v>
      </c>
      <c r="AF61" s="1072">
        <f t="shared" si="15"/>
        <v>324.77244353724632</v>
      </c>
      <c r="AG61" s="1450">
        <f t="shared" si="16"/>
        <v>0.13527885904981399</v>
      </c>
      <c r="AH61" s="914">
        <f>'Baseline data (from input)'!AS47*AG61</f>
        <v>5408.8674127689983</v>
      </c>
      <c r="AI61" s="908">
        <f>Parameters!S162</f>
        <v>0.71500000000000008</v>
      </c>
      <c r="AJ61" s="908">
        <f t="shared" si="17"/>
        <v>0.4</v>
      </c>
      <c r="AK61" s="906">
        <f t="shared" si="18"/>
        <v>773.46804002596696</v>
      </c>
      <c r="AL61" s="906">
        <f t="shared" si="19"/>
        <v>773.46804002596696</v>
      </c>
      <c r="AM61" s="286">
        <f t="shared" si="20"/>
        <v>0</v>
      </c>
      <c r="AN61" s="906">
        <f t="shared" si="21"/>
        <v>10275.091756691409</v>
      </c>
      <c r="AO61" s="906">
        <f t="shared" si="22"/>
        <v>487.15866530586948</v>
      </c>
      <c r="AP61" s="1072">
        <f t="shared" si="23"/>
        <v>324.77244353724632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324.77244353724632</v>
      </c>
      <c r="BD61" s="1080">
        <f t="shared" si="33"/>
        <v>0</v>
      </c>
      <c r="BE61" s="301">
        <f t="shared" si="34"/>
        <v>580.37368450269048</v>
      </c>
      <c r="BF61" s="104">
        <v>0</v>
      </c>
      <c r="BG61" s="302">
        <f t="shared" si="35"/>
        <v>580.37368450269048</v>
      </c>
      <c r="BI61" s="300">
        <f t="shared" si="36"/>
        <v>255.60124096544416</v>
      </c>
      <c r="BJ61" s="301">
        <f t="shared" si="37"/>
        <v>324.77244353724632</v>
      </c>
      <c r="BK61" s="1080">
        <f t="shared" si="38"/>
        <v>0</v>
      </c>
      <c r="BL61" s="301">
        <f t="shared" si="39"/>
        <v>580.37368450269048</v>
      </c>
      <c r="BM61" s="104">
        <v>0</v>
      </c>
      <c r="BN61" s="302">
        <f t="shared" si="40"/>
        <v>580.37368450269048</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5293.2768391075424</v>
      </c>
      <c r="Y62" s="908">
        <f>Parameters!S163</f>
        <v>0.71500000000000008</v>
      </c>
      <c r="Z62" s="908">
        <f t="shared" si="9"/>
        <v>0.4</v>
      </c>
      <c r="AA62" s="906">
        <f t="shared" si="10"/>
        <v>756.93858799237864</v>
      </c>
      <c r="AB62" s="906">
        <f t="shared" si="11"/>
        <v>756.93858799237864</v>
      </c>
      <c r="AC62" s="286">
        <f t="shared" si="12"/>
        <v>0</v>
      </c>
      <c r="AD62" s="906">
        <f t="shared" si="13"/>
        <v>10530.908206401979</v>
      </c>
      <c r="AE62" s="906">
        <f t="shared" si="14"/>
        <v>501.12213828180938</v>
      </c>
      <c r="AF62" s="1072">
        <f t="shared" si="15"/>
        <v>334.08142552120626</v>
      </c>
      <c r="AG62" s="1450">
        <f t="shared" si="16"/>
        <v>0.13527885904981399</v>
      </c>
      <c r="AH62" s="914">
        <f>'Baseline data (from input)'!AS48*AG62</f>
        <v>5293.2768391075424</v>
      </c>
      <c r="AI62" s="908">
        <f>Parameters!S163</f>
        <v>0.71500000000000008</v>
      </c>
      <c r="AJ62" s="908">
        <f t="shared" si="17"/>
        <v>0.4</v>
      </c>
      <c r="AK62" s="906">
        <f t="shared" si="18"/>
        <v>756.93858799237864</v>
      </c>
      <c r="AL62" s="906">
        <f t="shared" si="19"/>
        <v>756.93858799237864</v>
      </c>
      <c r="AM62" s="286">
        <f t="shared" si="20"/>
        <v>0</v>
      </c>
      <c r="AN62" s="906">
        <f t="shared" si="21"/>
        <v>10530.908206401979</v>
      </c>
      <c r="AO62" s="906">
        <f t="shared" si="22"/>
        <v>501.12213828180938</v>
      </c>
      <c r="AP62" s="1072">
        <f t="shared" si="23"/>
        <v>334.08142552120626</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334.08142552120626</v>
      </c>
      <c r="BD62" s="1080">
        <f t="shared" si="33"/>
        <v>0</v>
      </c>
      <c r="BE62" s="301">
        <f t="shared" si="34"/>
        <v>598.86300288270945</v>
      </c>
      <c r="BF62" s="104">
        <v>0</v>
      </c>
      <c r="BG62" s="302">
        <f t="shared" si="35"/>
        <v>598.86300288270945</v>
      </c>
      <c r="BI62" s="300">
        <f t="shared" si="36"/>
        <v>264.78157736150325</v>
      </c>
      <c r="BJ62" s="301">
        <f t="shared" si="37"/>
        <v>334.08142552120626</v>
      </c>
      <c r="BK62" s="1080">
        <f t="shared" si="38"/>
        <v>0</v>
      </c>
      <c r="BL62" s="301">
        <f t="shared" si="39"/>
        <v>598.86300288270945</v>
      </c>
      <c r="BM62" s="104">
        <v>0</v>
      </c>
      <c r="BN62" s="302">
        <f t="shared" si="40"/>
        <v>598.86300288270945</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5358.5704629681513</v>
      </c>
      <c r="Y63" s="908">
        <f>Parameters!S164</f>
        <v>0.71500000000000008</v>
      </c>
      <c r="Z63" s="908">
        <f t="shared" si="9"/>
        <v>0.4</v>
      </c>
      <c r="AA63" s="906">
        <f t="shared" si="10"/>
        <v>766.27557620444577</v>
      </c>
      <c r="AB63" s="906">
        <f t="shared" si="11"/>
        <v>766.27557620444577</v>
      </c>
      <c r="AC63" s="286">
        <f t="shared" si="12"/>
        <v>0</v>
      </c>
      <c r="AD63" s="906">
        <f t="shared" si="13"/>
        <v>10783.585328850046</v>
      </c>
      <c r="AE63" s="906">
        <f t="shared" si="14"/>
        <v>513.59845375637803</v>
      </c>
      <c r="AF63" s="1072">
        <f t="shared" si="15"/>
        <v>342.39896917091869</v>
      </c>
      <c r="AG63" s="1450">
        <f t="shared" si="16"/>
        <v>0.13527885904981399</v>
      </c>
      <c r="AH63" s="914">
        <f>'Baseline data (from input)'!AS49*AG63</f>
        <v>5358.5704629681513</v>
      </c>
      <c r="AI63" s="908">
        <f>Parameters!S164</f>
        <v>0.71500000000000008</v>
      </c>
      <c r="AJ63" s="908">
        <f t="shared" si="17"/>
        <v>0.4</v>
      </c>
      <c r="AK63" s="906">
        <f t="shared" si="18"/>
        <v>766.27557620444577</v>
      </c>
      <c r="AL63" s="906">
        <f t="shared" si="19"/>
        <v>766.27557620444577</v>
      </c>
      <c r="AM63" s="286">
        <f t="shared" si="20"/>
        <v>0</v>
      </c>
      <c r="AN63" s="906">
        <f t="shared" si="21"/>
        <v>10783.585328850046</v>
      </c>
      <c r="AO63" s="906">
        <f t="shared" si="22"/>
        <v>513.59845375637803</v>
      </c>
      <c r="AP63" s="1072">
        <f t="shared" si="23"/>
        <v>342.39896917091869</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342.39896917091869</v>
      </c>
      <c r="BD63" s="1080">
        <f t="shared" si="33"/>
        <v>0</v>
      </c>
      <c r="BE63" s="301">
        <f t="shared" si="34"/>
        <v>616.36977430338607</v>
      </c>
      <c r="BF63" s="104">
        <v>0</v>
      </c>
      <c r="BG63" s="302">
        <f t="shared" si="35"/>
        <v>616.36977430338607</v>
      </c>
      <c r="BI63" s="300">
        <f t="shared" si="36"/>
        <v>273.97080513246732</v>
      </c>
      <c r="BJ63" s="301">
        <f t="shared" si="37"/>
        <v>342.39896917091869</v>
      </c>
      <c r="BK63" s="1080">
        <f t="shared" si="38"/>
        <v>0</v>
      </c>
      <c r="BL63" s="301">
        <f t="shared" si="39"/>
        <v>616.36977430338607</v>
      </c>
      <c r="BM63" s="104">
        <v>0</v>
      </c>
      <c r="BN63" s="302">
        <f t="shared" si="40"/>
        <v>616.36977430338607</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5530.0447739945357</v>
      </c>
      <c r="Y64" s="908">
        <f>Parameters!S165</f>
        <v>0.71500000000000008</v>
      </c>
      <c r="Z64" s="908">
        <f t="shared" si="9"/>
        <v>0.4</v>
      </c>
      <c r="AA64" s="906">
        <f t="shared" si="10"/>
        <v>790.79640268121864</v>
      </c>
      <c r="AB64" s="906">
        <f t="shared" si="11"/>
        <v>790.79640268121864</v>
      </c>
      <c r="AC64" s="286">
        <f t="shared" si="12"/>
        <v>0</v>
      </c>
      <c r="AD64" s="906">
        <f t="shared" si="13"/>
        <v>11048.460069097591</v>
      </c>
      <c r="AE64" s="906">
        <f t="shared" si="14"/>
        <v>525.92166243367387</v>
      </c>
      <c r="AF64" s="1072">
        <f t="shared" si="15"/>
        <v>350.61444162244925</v>
      </c>
      <c r="AG64" s="1450">
        <f t="shared" si="16"/>
        <v>0.13527885904981399</v>
      </c>
      <c r="AH64" s="914">
        <f>'Baseline data (from input)'!AS50*AG64</f>
        <v>5530.0447739945357</v>
      </c>
      <c r="AI64" s="908">
        <f>Parameters!S165</f>
        <v>0.71500000000000008</v>
      </c>
      <c r="AJ64" s="908">
        <f t="shared" si="17"/>
        <v>0.4</v>
      </c>
      <c r="AK64" s="906">
        <f t="shared" si="18"/>
        <v>790.79640268121864</v>
      </c>
      <c r="AL64" s="906">
        <f t="shared" si="19"/>
        <v>790.79640268121864</v>
      </c>
      <c r="AM64" s="286">
        <f t="shared" si="20"/>
        <v>0</v>
      </c>
      <c r="AN64" s="906">
        <f t="shared" si="21"/>
        <v>11048.460069097591</v>
      </c>
      <c r="AO64" s="906">
        <f t="shared" si="22"/>
        <v>525.92166243367387</v>
      </c>
      <c r="AP64" s="1072">
        <f t="shared" si="23"/>
        <v>350.61444162244925</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350.61444162244925</v>
      </c>
      <c r="BD64" s="1080">
        <f t="shared" si="33"/>
        <v>0</v>
      </c>
      <c r="BE64" s="301">
        <f t="shared" si="34"/>
        <v>633.79799234458801</v>
      </c>
      <c r="BF64" s="104">
        <v>0</v>
      </c>
      <c r="BG64" s="302">
        <f t="shared" si="35"/>
        <v>633.79799234458801</v>
      </c>
      <c r="BI64" s="300">
        <f t="shared" si="36"/>
        <v>283.18355072213882</v>
      </c>
      <c r="BJ64" s="301">
        <f t="shared" si="37"/>
        <v>350.61444162244925</v>
      </c>
      <c r="BK64" s="1080">
        <f t="shared" si="38"/>
        <v>0</v>
      </c>
      <c r="BL64" s="301">
        <f t="shared" si="39"/>
        <v>633.79799234458801</v>
      </c>
      <c r="BM64" s="104">
        <v>0</v>
      </c>
      <c r="BN64" s="302">
        <f t="shared" si="40"/>
        <v>633.79799234458801</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5701.4759086017139</v>
      </c>
      <c r="Y65" s="908">
        <f>Parameters!S166</f>
        <v>0.71500000000000008</v>
      </c>
      <c r="Z65" s="908">
        <f t="shared" si="9"/>
        <v>0.4</v>
      </c>
      <c r="AA65" s="906">
        <f t="shared" si="10"/>
        <v>815.31105493004509</v>
      </c>
      <c r="AB65" s="906">
        <f t="shared" si="11"/>
        <v>815.31105493004509</v>
      </c>
      <c r="AC65" s="286">
        <f t="shared" si="12"/>
        <v>0</v>
      </c>
      <c r="AD65" s="906">
        <f t="shared" si="13"/>
        <v>11324.931368076866</v>
      </c>
      <c r="AE65" s="906">
        <f t="shared" si="14"/>
        <v>538.8397559507705</v>
      </c>
      <c r="AF65" s="1072">
        <f t="shared" si="15"/>
        <v>359.22650396718035</v>
      </c>
      <c r="AG65" s="1450">
        <f t="shared" si="16"/>
        <v>0.13527885904981399</v>
      </c>
      <c r="AH65" s="914">
        <f>'Baseline data (from input)'!AS51*AG65</f>
        <v>5701.4759086017139</v>
      </c>
      <c r="AI65" s="908">
        <f>Parameters!S166</f>
        <v>0.71500000000000008</v>
      </c>
      <c r="AJ65" s="908">
        <f t="shared" si="17"/>
        <v>0.4</v>
      </c>
      <c r="AK65" s="906">
        <f t="shared" si="18"/>
        <v>815.31105493004509</v>
      </c>
      <c r="AL65" s="906">
        <f t="shared" si="19"/>
        <v>815.31105493004509</v>
      </c>
      <c r="AM65" s="286">
        <f t="shared" si="20"/>
        <v>0</v>
      </c>
      <c r="AN65" s="906">
        <f t="shared" si="21"/>
        <v>11324.931368076866</v>
      </c>
      <c r="AO65" s="906">
        <f t="shared" si="22"/>
        <v>538.8397559507705</v>
      </c>
      <c r="AP65" s="1072">
        <f t="shared" si="23"/>
        <v>359.22650396718035</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359.22650396718035</v>
      </c>
      <c r="BD65" s="1080">
        <f t="shared" si="33"/>
        <v>0</v>
      </c>
      <c r="BE65" s="301">
        <f t="shared" si="34"/>
        <v>651.66083360466996</v>
      </c>
      <c r="BF65" s="104">
        <v>0</v>
      </c>
      <c r="BG65" s="302">
        <f t="shared" si="35"/>
        <v>651.66083360466996</v>
      </c>
      <c r="BI65" s="300">
        <f t="shared" si="36"/>
        <v>292.43432963748961</v>
      </c>
      <c r="BJ65" s="301">
        <f t="shared" si="37"/>
        <v>359.22650396718035</v>
      </c>
      <c r="BK65" s="1080">
        <f t="shared" si="38"/>
        <v>0</v>
      </c>
      <c r="BL65" s="301">
        <f t="shared" si="39"/>
        <v>651.66083360466996</v>
      </c>
      <c r="BM65" s="104">
        <v>0</v>
      </c>
      <c r="BN65" s="302">
        <f t="shared" si="40"/>
        <v>651.66083360466996</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5946.6393134332529</v>
      </c>
      <c r="Y66" s="908">
        <f>Parameters!S167</f>
        <v>0.71500000000000008</v>
      </c>
      <c r="Z66" s="908">
        <f t="shared" si="9"/>
        <v>0.4</v>
      </c>
      <c r="AA66" s="906">
        <f t="shared" si="10"/>
        <v>850.36942182095527</v>
      </c>
      <c r="AB66" s="906">
        <f t="shared" si="11"/>
        <v>850.36942182095527</v>
      </c>
      <c r="AC66" s="286">
        <f t="shared" si="12"/>
        <v>0</v>
      </c>
      <c r="AD66" s="906">
        <f t="shared" si="13"/>
        <v>11622.977369586797</v>
      </c>
      <c r="AE66" s="906">
        <f t="shared" si="14"/>
        <v>552.32342031102496</v>
      </c>
      <c r="AF66" s="1072">
        <f t="shared" si="15"/>
        <v>368.21561354068331</v>
      </c>
      <c r="AG66" s="1450">
        <f t="shared" si="16"/>
        <v>0.13527885904981399</v>
      </c>
      <c r="AH66" s="914">
        <f>'Baseline data (from input)'!AS52*AG66</f>
        <v>5946.6393134332529</v>
      </c>
      <c r="AI66" s="908">
        <f>Parameters!S167</f>
        <v>0.71500000000000008</v>
      </c>
      <c r="AJ66" s="908">
        <f t="shared" si="17"/>
        <v>0.4</v>
      </c>
      <c r="AK66" s="906">
        <f t="shared" si="18"/>
        <v>850.36942182095527</v>
      </c>
      <c r="AL66" s="906">
        <f t="shared" si="19"/>
        <v>850.36942182095527</v>
      </c>
      <c r="AM66" s="286">
        <f t="shared" si="20"/>
        <v>0</v>
      </c>
      <c r="AN66" s="906">
        <f t="shared" si="21"/>
        <v>11622.977369586797</v>
      </c>
      <c r="AO66" s="906">
        <f t="shared" si="22"/>
        <v>552.32342031102496</v>
      </c>
      <c r="AP66" s="1072">
        <f t="shared" si="23"/>
        <v>368.21561354068331</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368.21561354068331</v>
      </c>
      <c r="BD66" s="1080">
        <f t="shared" si="33"/>
        <v>0</v>
      </c>
      <c r="BE66" s="301">
        <f t="shared" si="34"/>
        <v>669.95376780304787</v>
      </c>
      <c r="BF66" s="104">
        <v>0</v>
      </c>
      <c r="BG66" s="302">
        <f t="shared" si="35"/>
        <v>669.95376780304787</v>
      </c>
      <c r="BI66" s="300">
        <f t="shared" si="36"/>
        <v>301.73815426236462</v>
      </c>
      <c r="BJ66" s="301">
        <f t="shared" si="37"/>
        <v>368.21561354068331</v>
      </c>
      <c r="BK66" s="1080">
        <f t="shared" si="38"/>
        <v>0</v>
      </c>
      <c r="BL66" s="301">
        <f t="shared" si="39"/>
        <v>669.95376780304787</v>
      </c>
      <c r="BM66" s="104">
        <v>0</v>
      </c>
      <c r="BN66" s="302">
        <f t="shared" si="40"/>
        <v>669.95376780304787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6101.2520614134064</v>
      </c>
      <c r="Y67" s="908">
        <f>Parameters!S168</f>
        <v>0.71500000000000008</v>
      </c>
      <c r="Z67" s="908">
        <f t="shared" si="9"/>
        <v>0.4</v>
      </c>
      <c r="AA67" s="906">
        <f t="shared" si="10"/>
        <v>872.47904478211717</v>
      </c>
      <c r="AB67" s="906">
        <f t="shared" si="11"/>
        <v>872.47904478211717</v>
      </c>
      <c r="AC67" s="286">
        <f t="shared" si="12"/>
        <v>0</v>
      </c>
      <c r="AD67" s="906">
        <f t="shared" si="13"/>
        <v>11928.59711903899</v>
      </c>
      <c r="AE67" s="906">
        <f t="shared" si="14"/>
        <v>566.85929532992532</v>
      </c>
      <c r="AF67" s="1072">
        <f t="shared" si="15"/>
        <v>377.9061968866169</v>
      </c>
      <c r="AG67" s="1450">
        <f t="shared" si="16"/>
        <v>0.13527885904981399</v>
      </c>
      <c r="AH67" s="914">
        <f>'Baseline data (from input)'!AS53*AG67</f>
        <v>6101.2520614134064</v>
      </c>
      <c r="AI67" s="908">
        <f>Parameters!S168</f>
        <v>0.71500000000000008</v>
      </c>
      <c r="AJ67" s="908">
        <f t="shared" si="17"/>
        <v>0.4</v>
      </c>
      <c r="AK67" s="906">
        <f t="shared" si="18"/>
        <v>872.47904478211717</v>
      </c>
      <c r="AL67" s="906">
        <f t="shared" si="19"/>
        <v>872.47904478211717</v>
      </c>
      <c r="AM67" s="286">
        <f t="shared" si="20"/>
        <v>0</v>
      </c>
      <c r="AN67" s="906">
        <f t="shared" si="21"/>
        <v>11928.59711903899</v>
      </c>
      <c r="AO67" s="906">
        <f t="shared" si="22"/>
        <v>566.85929532992532</v>
      </c>
      <c r="AP67" s="1072">
        <f t="shared" si="23"/>
        <v>377.9061968866169</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377.9061968866169</v>
      </c>
      <c r="BD67" s="1080">
        <f t="shared" si="33"/>
        <v>0</v>
      </c>
      <c r="BE67" s="301">
        <f t="shared" si="34"/>
        <v>689.02453775339029</v>
      </c>
      <c r="BF67" s="104">
        <v>0</v>
      </c>
      <c r="BG67" s="302">
        <f t="shared" si="35"/>
        <v>689.02453775339029</v>
      </c>
      <c r="BI67" s="300">
        <f t="shared" si="36"/>
        <v>311.11834086677339</v>
      </c>
      <c r="BJ67" s="301">
        <f t="shared" si="37"/>
        <v>377.9061968866169</v>
      </c>
      <c r="BK67" s="1080">
        <f t="shared" si="38"/>
        <v>0</v>
      </c>
      <c r="BL67" s="301">
        <f t="shared" si="39"/>
        <v>689.02453775339029</v>
      </c>
      <c r="BM67" s="104">
        <v>0</v>
      </c>
      <c r="BN67" s="302">
        <f t="shared" si="40"/>
        <v>689.02453775339029</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6131.7583769368039</v>
      </c>
      <c r="Y68" s="908">
        <f>Parameters!S169</f>
        <v>0.71500000000000008</v>
      </c>
      <c r="Z68" s="908">
        <f t="shared" si="9"/>
        <v>0.4</v>
      </c>
      <c r="AA68" s="906">
        <f t="shared" si="10"/>
        <v>876.84144790196297</v>
      </c>
      <c r="AB68" s="906">
        <f t="shared" si="11"/>
        <v>876.84144790196297</v>
      </c>
      <c r="AC68" s="286">
        <f t="shared" si="12"/>
        <v>0</v>
      </c>
      <c r="AD68" s="906">
        <f t="shared" si="13"/>
        <v>12223.674020546297</v>
      </c>
      <c r="AE68" s="906">
        <f t="shared" si="14"/>
        <v>581.76454639465635</v>
      </c>
      <c r="AF68" s="1072">
        <f t="shared" si="15"/>
        <v>387.84303092977092</v>
      </c>
      <c r="AG68" s="1450">
        <f t="shared" si="16"/>
        <v>0.13527885904981399</v>
      </c>
      <c r="AH68" s="914">
        <f>'Baseline data (from input)'!AS54*AG68</f>
        <v>6131.7583769368039</v>
      </c>
      <c r="AI68" s="908">
        <f>Parameters!S169</f>
        <v>0.71500000000000008</v>
      </c>
      <c r="AJ68" s="908">
        <f t="shared" si="17"/>
        <v>0.4</v>
      </c>
      <c r="AK68" s="906">
        <f t="shared" si="18"/>
        <v>876.84144790196297</v>
      </c>
      <c r="AL68" s="906">
        <f t="shared" si="19"/>
        <v>876.84144790196297</v>
      </c>
      <c r="AM68" s="286">
        <f t="shared" si="20"/>
        <v>0</v>
      </c>
      <c r="AN68" s="906">
        <f t="shared" si="21"/>
        <v>12223.674020546297</v>
      </c>
      <c r="AO68" s="906">
        <f t="shared" si="22"/>
        <v>581.76454639465635</v>
      </c>
      <c r="AP68" s="1072">
        <f t="shared" si="23"/>
        <v>387.84303092977092</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387.84303092977092</v>
      </c>
      <c r="BD68" s="1080">
        <f t="shared" si="33"/>
        <v>0</v>
      </c>
      <c r="BE68" s="301">
        <f t="shared" si="34"/>
        <v>708.44190671234219</v>
      </c>
      <c r="BF68" s="104">
        <v>0</v>
      </c>
      <c r="BG68" s="302">
        <f t="shared" si="35"/>
        <v>708.44190671234219</v>
      </c>
      <c r="BI68" s="300">
        <f t="shared" si="36"/>
        <v>320.59887578257127</v>
      </c>
      <c r="BJ68" s="301">
        <f t="shared" si="37"/>
        <v>387.84303092977092</v>
      </c>
      <c r="BK68" s="1080">
        <f t="shared" si="38"/>
        <v>0</v>
      </c>
      <c r="BL68" s="301">
        <f t="shared" si="39"/>
        <v>708.44190671234219</v>
      </c>
      <c r="BM68" s="104">
        <v>0</v>
      </c>
      <c r="BN68" s="302">
        <f t="shared" si="40"/>
        <v>708.44190671234219</v>
      </c>
    </row>
    <row r="69" spans="1:73" ht="1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6278.9203477357596</v>
      </c>
      <c r="Y69" s="917">
        <f>Parameters!S170</f>
        <v>0.71500000000000008</v>
      </c>
      <c r="Z69" s="917">
        <f t="shared" si="9"/>
        <v>0.4</v>
      </c>
      <c r="AA69" s="918">
        <f t="shared" si="10"/>
        <v>897.88560972621383</v>
      </c>
      <c r="AB69" s="918">
        <f t="shared" si="11"/>
        <v>897.88560972621383</v>
      </c>
      <c r="AC69" s="919">
        <f t="shared" si="12"/>
        <v>0</v>
      </c>
      <c r="AD69" s="918">
        <f t="shared" si="13"/>
        <v>12525.404013574798</v>
      </c>
      <c r="AE69" s="918">
        <f t="shared" si="14"/>
        <v>596.15561669771387</v>
      </c>
      <c r="AF69" s="1077">
        <f t="shared" si="15"/>
        <v>397.43707779847591</v>
      </c>
      <c r="AG69" s="1450">
        <f t="shared" si="16"/>
        <v>0.13527885904981399</v>
      </c>
      <c r="AH69" s="914">
        <f>'Baseline data (from input)'!AS55*AG69</f>
        <v>6278.9203477357596</v>
      </c>
      <c r="AI69" s="917">
        <f>Parameters!S170</f>
        <v>0.71500000000000008</v>
      </c>
      <c r="AJ69" s="917">
        <f t="shared" si="17"/>
        <v>0.4</v>
      </c>
      <c r="AK69" s="918">
        <f t="shared" si="18"/>
        <v>897.88560972621383</v>
      </c>
      <c r="AL69" s="918">
        <f t="shared" si="19"/>
        <v>897.88560972621383</v>
      </c>
      <c r="AM69" s="919">
        <f t="shared" si="20"/>
        <v>0</v>
      </c>
      <c r="AN69" s="918">
        <f t="shared" si="21"/>
        <v>12525.404013574798</v>
      </c>
      <c r="AO69" s="918">
        <f t="shared" si="22"/>
        <v>596.15561669771387</v>
      </c>
      <c r="AP69" s="1077">
        <f t="shared" si="23"/>
        <v>397.43707779847591</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397.43707779847591</v>
      </c>
      <c r="BD69" s="1080">
        <f t="shared" si="33"/>
        <v>0</v>
      </c>
      <c r="BE69" s="301">
        <f t="shared" si="34"/>
        <v>727.64085811938276</v>
      </c>
      <c r="BF69" s="104">
        <v>0</v>
      </c>
      <c r="BG69" s="302">
        <f t="shared" si="35"/>
        <v>727.64085811938276</v>
      </c>
      <c r="BI69" s="300">
        <f t="shared" si="36"/>
        <v>330.2037803209069</v>
      </c>
      <c r="BJ69" s="301">
        <f t="shared" si="37"/>
        <v>397.43707779847591</v>
      </c>
      <c r="BK69" s="1080">
        <f t="shared" si="38"/>
        <v>0</v>
      </c>
      <c r="BL69" s="301">
        <f t="shared" si="39"/>
        <v>727.64085811938276</v>
      </c>
      <c r="BM69" s="104">
        <v>0</v>
      </c>
      <c r="BN69" s="302">
        <f t="shared" si="40"/>
        <v>727.64085811938276</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6542.6352205959338</v>
      </c>
      <c r="Y70" s="888">
        <f>Parameters!S171</f>
        <v>0.71500000000000008</v>
      </c>
      <c r="Z70" s="888">
        <f t="shared" si="9"/>
        <v>0.4</v>
      </c>
      <c r="AA70" s="889">
        <f t="shared" si="10"/>
        <v>935.59683654521882</v>
      </c>
      <c r="AB70" s="889">
        <f t="shared" si="11"/>
        <v>935.59683654521882</v>
      </c>
      <c r="AC70" s="890">
        <f t="shared" si="12"/>
        <v>0</v>
      </c>
      <c r="AD70" s="889">
        <f t="shared" si="13"/>
        <v>12850.129688016908</v>
      </c>
      <c r="AE70" s="889">
        <f t="shared" si="14"/>
        <v>610.87116210310944</v>
      </c>
      <c r="AF70" s="896">
        <f t="shared" si="15"/>
        <v>407.24744140207298</v>
      </c>
      <c r="AG70" s="1450">
        <f t="shared" si="16"/>
        <v>0.13527885904981399</v>
      </c>
      <c r="AH70" s="887">
        <f>'Baseline data (from input)'!AS56*AG70</f>
        <v>6542.6352205959338</v>
      </c>
      <c r="AI70" s="888">
        <f>Parameters!S171</f>
        <v>0.71500000000000008</v>
      </c>
      <c r="AJ70" s="888">
        <f t="shared" si="17"/>
        <v>0.4</v>
      </c>
      <c r="AK70" s="889">
        <f t="shared" si="18"/>
        <v>935.59683654521882</v>
      </c>
      <c r="AL70" s="889">
        <f t="shared" si="19"/>
        <v>935.59683654521882</v>
      </c>
      <c r="AM70" s="890">
        <f t="shared" si="20"/>
        <v>0</v>
      </c>
      <c r="AN70" s="889">
        <f t="shared" si="21"/>
        <v>12850.129688016908</v>
      </c>
      <c r="AO70" s="889">
        <f t="shared" si="22"/>
        <v>610.87116210310944</v>
      </c>
      <c r="AP70" s="896">
        <f t="shared" si="23"/>
        <v>407.24744140207298</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407.24744140207298</v>
      </c>
      <c r="BD70" s="1603">
        <f>AZ70</f>
        <v>0</v>
      </c>
      <c r="BE70" s="1602">
        <f t="shared" si="34"/>
        <v>747.20394806508398</v>
      </c>
      <c r="BF70" s="495">
        <v>0</v>
      </c>
      <c r="BG70" s="1604">
        <f t="shared" si="35"/>
        <v>747.20394806508398</v>
      </c>
      <c r="BI70" s="1601">
        <f t="shared" si="36"/>
        <v>339.95650666301094</v>
      </c>
      <c r="BJ70" s="1602">
        <f t="shared" si="37"/>
        <v>407.24744140207298</v>
      </c>
      <c r="BK70" s="1603">
        <f t="shared" si="38"/>
        <v>0</v>
      </c>
      <c r="BL70" s="1602">
        <f t="shared" si="39"/>
        <v>747.20394806508398</v>
      </c>
      <c r="BM70" s="495">
        <v>0</v>
      </c>
      <c r="BN70" s="1604">
        <f t="shared" si="40"/>
        <v>747.20394806508398</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6719.286016090653</v>
      </c>
      <c r="Y71" s="885">
        <f>Parameters!S172</f>
        <v>0.71500000000000008</v>
      </c>
      <c r="Z71" s="885">
        <f t="shared" si="9"/>
        <v>0.4</v>
      </c>
      <c r="AA71" s="884">
        <f t="shared" si="10"/>
        <v>960.85790030096359</v>
      </c>
      <c r="AB71" s="884">
        <f t="shared" si="11"/>
        <v>960.85790030096359</v>
      </c>
      <c r="AC71" s="886">
        <f t="shared" si="12"/>
        <v>0</v>
      </c>
      <c r="AD71" s="884">
        <f t="shared" si="13"/>
        <v>13184.279368192827</v>
      </c>
      <c r="AE71" s="884">
        <f t="shared" si="14"/>
        <v>626.70822012504493</v>
      </c>
      <c r="AF71" s="897">
        <f t="shared" si="15"/>
        <v>417.80548008336331</v>
      </c>
      <c r="AG71" s="1450">
        <f>$D$12</f>
        <v>0.13527885904981399</v>
      </c>
      <c r="AH71" s="891">
        <f>'Baseline data (from input)'!AS57*AG71</f>
        <v>6719.286016090653</v>
      </c>
      <c r="AI71" s="885">
        <f>Parameters!S172</f>
        <v>0.71500000000000008</v>
      </c>
      <c r="AJ71" s="885">
        <f t="shared" si="17"/>
        <v>0.4</v>
      </c>
      <c r="AK71" s="884">
        <f t="shared" si="18"/>
        <v>960.85790030096359</v>
      </c>
      <c r="AL71" s="884">
        <f t="shared" si="19"/>
        <v>960.85790030096359</v>
      </c>
      <c r="AM71" s="886">
        <f t="shared" si="20"/>
        <v>0</v>
      </c>
      <c r="AN71" s="884">
        <f t="shared" si="21"/>
        <v>13184.279368192827</v>
      </c>
      <c r="AO71" s="884">
        <f t="shared" si="22"/>
        <v>626.70822012504493</v>
      </c>
      <c r="AP71" s="897">
        <f t="shared" si="23"/>
        <v>417.80548008336331</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417.80548008336331</v>
      </c>
      <c r="BD71" s="1607">
        <f t="shared" ref="BD71:BD87" si="48">AZ71</f>
        <v>0.48626614457152323</v>
      </c>
      <c r="BE71" s="1606">
        <f t="shared" si="34"/>
        <v>770.79556857193893</v>
      </c>
      <c r="BF71" s="1608">
        <v>0</v>
      </c>
      <c r="BG71" s="1609">
        <f t="shared" si="35"/>
        <v>770.79556857193893</v>
      </c>
      <c r="BI71" s="1605">
        <f t="shared" si="36"/>
        <v>352.50382234400405</v>
      </c>
      <c r="BJ71" s="1606">
        <f t="shared" si="37"/>
        <v>417.80548008336331</v>
      </c>
      <c r="BK71" s="1607">
        <f t="shared" si="38"/>
        <v>0.48626614457152323</v>
      </c>
      <c r="BL71" s="1606">
        <f t="shared" si="39"/>
        <v>770.79556857193893</v>
      </c>
      <c r="BM71" s="1608">
        <v>0</v>
      </c>
      <c r="BN71" s="1609">
        <f t="shared" si="40"/>
        <v>770.79556857193893</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6967.9252900104757</v>
      </c>
      <c r="Y72" s="885">
        <f>Parameters!S173</f>
        <v>0.71500000000000008</v>
      </c>
      <c r="Z72" s="885">
        <f t="shared" si="9"/>
        <v>0.4</v>
      </c>
      <c r="AA72" s="884">
        <f t="shared" si="10"/>
        <v>996.41331647149809</v>
      </c>
      <c r="AB72" s="884">
        <f t="shared" si="11"/>
        <v>996.41331647149809</v>
      </c>
      <c r="AC72" s="886">
        <f t="shared" si="12"/>
        <v>0</v>
      </c>
      <c r="AD72" s="884">
        <f t="shared" si="13"/>
        <v>13537.687792334198</v>
      </c>
      <c r="AE72" s="884">
        <f t="shared" si="14"/>
        <v>643.00489233012684</v>
      </c>
      <c r="AF72" s="897">
        <f t="shared" si="15"/>
        <v>428.66992822008456</v>
      </c>
      <c r="AG72" s="1450">
        <f t="shared" si="16"/>
        <v>0.13527885904981399</v>
      </c>
      <c r="AH72" s="891">
        <f>'Baseline data (from input)'!AS58*AG72</f>
        <v>6967.9252900104757</v>
      </c>
      <c r="AI72" s="885">
        <f>Parameters!S173</f>
        <v>0.71500000000000008</v>
      </c>
      <c r="AJ72" s="885">
        <f t="shared" si="17"/>
        <v>0.4</v>
      </c>
      <c r="AK72" s="884">
        <f t="shared" si="18"/>
        <v>996.41331647149809</v>
      </c>
      <c r="AL72" s="884">
        <f t="shared" si="19"/>
        <v>996.41331647149809</v>
      </c>
      <c r="AM72" s="886">
        <f t="shared" si="20"/>
        <v>0</v>
      </c>
      <c r="AN72" s="884">
        <f t="shared" si="21"/>
        <v>13537.687792334198</v>
      </c>
      <c r="AO72" s="884">
        <f t="shared" si="22"/>
        <v>643.00489233012684</v>
      </c>
      <c r="AP72" s="897">
        <f t="shared" si="23"/>
        <v>428.66992822008456</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428.66992822008456</v>
      </c>
      <c r="BD72" s="1607">
        <f t="shared" si="48"/>
        <v>0.94421435341173465</v>
      </c>
      <c r="BE72" s="1606">
        <f t="shared" si="34"/>
        <v>794.65574404270728</v>
      </c>
      <c r="BF72" s="1608">
        <v>0</v>
      </c>
      <c r="BG72" s="1609">
        <f t="shared" si="35"/>
        <v>794.65574404270728</v>
      </c>
      <c r="BI72" s="1605">
        <f t="shared" si="36"/>
        <v>365.04160146921089</v>
      </c>
      <c r="BJ72" s="1606">
        <f t="shared" si="37"/>
        <v>428.66992822008456</v>
      </c>
      <c r="BK72" s="1607">
        <f t="shared" si="38"/>
        <v>0.94421435341173465</v>
      </c>
      <c r="BL72" s="1606">
        <f t="shared" si="39"/>
        <v>794.65574404270728</v>
      </c>
      <c r="BM72" s="1608">
        <v>0</v>
      </c>
      <c r="BN72" s="1609">
        <f t="shared" si="40"/>
        <v>794.65574404270728</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6496.4456746839114</v>
      </c>
      <c r="Y73" s="885">
        <f>Parameters!S174</f>
        <v>0.71500000000000008</v>
      </c>
      <c r="Z73" s="885">
        <f t="shared" si="9"/>
        <v>0.4</v>
      </c>
      <c r="AA73" s="884">
        <f t="shared" si="10"/>
        <v>928.99173147979945</v>
      </c>
      <c r="AB73" s="884">
        <f t="shared" si="11"/>
        <v>928.99173147979945</v>
      </c>
      <c r="AC73" s="886">
        <f t="shared" si="12"/>
        <v>0</v>
      </c>
      <c r="AD73" s="884">
        <f t="shared" si="13"/>
        <v>13806.438699252201</v>
      </c>
      <c r="AE73" s="884">
        <f t="shared" si="14"/>
        <v>660.24082456179724</v>
      </c>
      <c r="AF73" s="897">
        <f t="shared" si="15"/>
        <v>440.16054970786485</v>
      </c>
      <c r="AG73" s="1450">
        <f>($AG$82-$AG$72)/($A$82-$A$72)+AG72</f>
        <v>0.12394828525545966</v>
      </c>
      <c r="AH73" s="891">
        <f>'Baseline data (from input)'!AS59*AG73</f>
        <v>6496.4456746839114</v>
      </c>
      <c r="AI73" s="885">
        <f>Parameters!S174</f>
        <v>0.71500000000000008</v>
      </c>
      <c r="AJ73" s="885">
        <f t="shared" si="17"/>
        <v>0.4</v>
      </c>
      <c r="AK73" s="884">
        <f t="shared" si="18"/>
        <v>928.99173147979945</v>
      </c>
      <c r="AL73" s="884">
        <f t="shared" si="19"/>
        <v>928.99173147979945</v>
      </c>
      <c r="AM73" s="886">
        <f t="shared" si="20"/>
        <v>0</v>
      </c>
      <c r="AN73" s="884">
        <f t="shared" si="21"/>
        <v>13806.438699252201</v>
      </c>
      <c r="AO73" s="884">
        <f t="shared" si="22"/>
        <v>660.24082456179724</v>
      </c>
      <c r="AP73" s="897">
        <f t="shared" si="23"/>
        <v>440.16054970786485</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440.16054970786485</v>
      </c>
      <c r="BD73" s="1607">
        <f t="shared" si="48"/>
        <v>1.3754937347158787</v>
      </c>
      <c r="BE73" s="1606">
        <f t="shared" si="34"/>
        <v>818.91636386691971</v>
      </c>
      <c r="BF73" s="1608">
        <v>0</v>
      </c>
      <c r="BG73" s="1609">
        <f t="shared" si="35"/>
        <v>818.91636386691971</v>
      </c>
      <c r="BI73" s="1605">
        <f t="shared" si="36"/>
        <v>377.380320424339</v>
      </c>
      <c r="BJ73" s="1606">
        <f t="shared" si="37"/>
        <v>440.16054970786485</v>
      </c>
      <c r="BK73" s="1607">
        <f t="shared" si="38"/>
        <v>1.3754937347158787</v>
      </c>
      <c r="BL73" s="1606">
        <f t="shared" si="39"/>
        <v>818.91636386691971</v>
      </c>
      <c r="BM73" s="1608">
        <v>0</v>
      </c>
      <c r="BN73" s="1609">
        <f t="shared" si="40"/>
        <v>818.91636386691971</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6099.0828792375532</v>
      </c>
      <c r="Y74" s="885">
        <f>Parameters!S175</f>
        <v>0.71500000000000008</v>
      </c>
      <c r="Z74" s="885">
        <f t="shared" si="9"/>
        <v>0.4</v>
      </c>
      <c r="AA74" s="884">
        <f t="shared" si="10"/>
        <v>872.16885173097023</v>
      </c>
      <c r="AB74" s="884">
        <f t="shared" si="11"/>
        <v>872.16885173097023</v>
      </c>
      <c r="AC74" s="886">
        <f t="shared" si="12"/>
        <v>0</v>
      </c>
      <c r="AD74" s="884">
        <f t="shared" si="13"/>
        <v>14005.259590025029</v>
      </c>
      <c r="AE74" s="884">
        <f t="shared" si="14"/>
        <v>673.34796095814329</v>
      </c>
      <c r="AF74" s="897">
        <f t="shared" si="15"/>
        <v>448.89864063876217</v>
      </c>
      <c r="AG74" s="1450">
        <f t="shared" ref="AG74:AG81" si="51">($AG$82-$AG$72)/($A$82-$A$72)+AG73</f>
        <v>0.11261771146110533</v>
      </c>
      <c r="AH74" s="891">
        <f>'Baseline data (from input)'!AS60*AG74</f>
        <v>6099.0828792375532</v>
      </c>
      <c r="AI74" s="885">
        <f>Parameters!S175</f>
        <v>0.71500000000000008</v>
      </c>
      <c r="AJ74" s="885">
        <f t="shared" si="17"/>
        <v>0.4</v>
      </c>
      <c r="AK74" s="884">
        <f t="shared" si="18"/>
        <v>872.16885173097023</v>
      </c>
      <c r="AL74" s="884">
        <f t="shared" si="19"/>
        <v>872.16885173097023</v>
      </c>
      <c r="AM74" s="886">
        <f t="shared" si="20"/>
        <v>0</v>
      </c>
      <c r="AN74" s="884">
        <f t="shared" si="21"/>
        <v>14005.259590025029</v>
      </c>
      <c r="AO74" s="884">
        <f t="shared" si="22"/>
        <v>673.34796095814329</v>
      </c>
      <c r="AP74" s="897">
        <f t="shared" si="23"/>
        <v>448.89864063876217</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448.89864063876217</v>
      </c>
      <c r="BD74" s="1607">
        <f t="shared" si="48"/>
        <v>1.7816573600942787</v>
      </c>
      <c r="BE74" s="1606">
        <f t="shared" si="34"/>
        <v>840.18350622352068</v>
      </c>
      <c r="BF74" s="1608">
        <v>0</v>
      </c>
      <c r="BG74" s="1609">
        <f t="shared" si="35"/>
        <v>840.18350622352068</v>
      </c>
      <c r="BI74" s="1605">
        <f t="shared" si="36"/>
        <v>389.50320822466421</v>
      </c>
      <c r="BJ74" s="1606">
        <f t="shared" si="37"/>
        <v>448.89864063876217</v>
      </c>
      <c r="BK74" s="1607">
        <f t="shared" si="38"/>
        <v>1.7816573600942787</v>
      </c>
      <c r="BL74" s="1606">
        <f t="shared" si="39"/>
        <v>840.18350622352068</v>
      </c>
      <c r="BM74" s="1608">
        <v>0</v>
      </c>
      <c r="BN74" s="1609">
        <f t="shared" si="40"/>
        <v>840.18350622352068</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5706.4284712043</v>
      </c>
      <c r="Y75" s="885">
        <f>Parameters!S176</f>
        <v>0.71500000000000008</v>
      </c>
      <c r="Z75" s="885">
        <f t="shared" si="9"/>
        <v>0.4</v>
      </c>
      <c r="AA75" s="884">
        <f t="shared" si="10"/>
        <v>816.01927138221504</v>
      </c>
      <c r="AB75" s="884">
        <f t="shared" si="11"/>
        <v>816.01927138221504</v>
      </c>
      <c r="AC75" s="886">
        <f t="shared" si="12"/>
        <v>0</v>
      </c>
      <c r="AD75" s="884">
        <f t="shared" si="13"/>
        <v>14138.234291184828</v>
      </c>
      <c r="AE75" s="884">
        <f t="shared" si="14"/>
        <v>683.04457022241479</v>
      </c>
      <c r="AF75" s="897">
        <f t="shared" si="15"/>
        <v>455.36304681494317</v>
      </c>
      <c r="AG75" s="1450">
        <f t="shared" si="51"/>
        <v>0.101287137666751</v>
      </c>
      <c r="AH75" s="891">
        <f>'Baseline data (from input)'!AS61*AG75</f>
        <v>5706.4284712043</v>
      </c>
      <c r="AI75" s="885">
        <f>Parameters!S176</f>
        <v>0.71500000000000008</v>
      </c>
      <c r="AJ75" s="885">
        <f t="shared" si="17"/>
        <v>0.4</v>
      </c>
      <c r="AK75" s="884">
        <f t="shared" si="18"/>
        <v>816.01927138221504</v>
      </c>
      <c r="AL75" s="884">
        <f t="shared" si="19"/>
        <v>816.01927138221504</v>
      </c>
      <c r="AM75" s="886">
        <f t="shared" si="20"/>
        <v>0</v>
      </c>
      <c r="AN75" s="884">
        <f t="shared" si="21"/>
        <v>14138.234291184828</v>
      </c>
      <c r="AO75" s="884">
        <f t="shared" si="22"/>
        <v>683.04457022241479</v>
      </c>
      <c r="AP75" s="897">
        <f t="shared" si="23"/>
        <v>455.36304681494317</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455.36304681494317</v>
      </c>
      <c r="BD75" s="1607">
        <f t="shared" si="48"/>
        <v>2.1641678573076555</v>
      </c>
      <c r="BE75" s="1606">
        <f t="shared" si="34"/>
        <v>858.92549837785668</v>
      </c>
      <c r="BF75" s="1608">
        <v>0</v>
      </c>
      <c r="BG75" s="1609">
        <f t="shared" si="35"/>
        <v>858.92549837785668</v>
      </c>
      <c r="BI75" s="1605">
        <f t="shared" si="36"/>
        <v>401.39828370560582</v>
      </c>
      <c r="BJ75" s="1606">
        <f t="shared" si="37"/>
        <v>455.36304681494317</v>
      </c>
      <c r="BK75" s="1607">
        <f t="shared" si="38"/>
        <v>2.1641678573076555</v>
      </c>
      <c r="BL75" s="1606">
        <f t="shared" si="39"/>
        <v>858.92549837785668</v>
      </c>
      <c r="BM75" s="1608">
        <v>0</v>
      </c>
      <c r="BN75" s="1609">
        <f t="shared" si="40"/>
        <v>858.92549837785668</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5287.8413483740942</v>
      </c>
      <c r="Y76" s="885">
        <f>Parameters!S177</f>
        <v>0.71500000000000008</v>
      </c>
      <c r="Z76" s="885">
        <f t="shared" si="9"/>
        <v>0.4</v>
      </c>
      <c r="AA76" s="884">
        <f t="shared" si="10"/>
        <v>756.16131281749551</v>
      </c>
      <c r="AB76" s="884">
        <f t="shared" si="11"/>
        <v>756.16131281749551</v>
      </c>
      <c r="AC76" s="886">
        <f t="shared" si="12"/>
        <v>0</v>
      </c>
      <c r="AD76" s="884">
        <f t="shared" si="13"/>
        <v>14204.8657810775</v>
      </c>
      <c r="AE76" s="884">
        <f t="shared" si="14"/>
        <v>689.52982292482375</v>
      </c>
      <c r="AF76" s="897">
        <f t="shared" si="15"/>
        <v>459.68654861654915</v>
      </c>
      <c r="AG76" s="1450">
        <f t="shared" si="51"/>
        <v>8.9956563872396672E-2</v>
      </c>
      <c r="AH76" s="891">
        <f>'Baseline data (from input)'!AS62*AG76</f>
        <v>5287.8413483740942</v>
      </c>
      <c r="AI76" s="885">
        <f>Parameters!S177</f>
        <v>0.71500000000000008</v>
      </c>
      <c r="AJ76" s="885">
        <f t="shared" si="17"/>
        <v>0.4</v>
      </c>
      <c r="AK76" s="884">
        <f t="shared" si="18"/>
        <v>756.16131281749551</v>
      </c>
      <c r="AL76" s="884">
        <f t="shared" si="19"/>
        <v>756.16131281749551</v>
      </c>
      <c r="AM76" s="886">
        <f t="shared" si="20"/>
        <v>0</v>
      </c>
      <c r="AN76" s="884">
        <f t="shared" si="21"/>
        <v>14204.8657810775</v>
      </c>
      <c r="AO76" s="884">
        <f t="shared" si="22"/>
        <v>689.52982292482375</v>
      </c>
      <c r="AP76" s="897">
        <f t="shared" si="23"/>
        <v>459.68654861654915</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459.68654861654915</v>
      </c>
      <c r="BD76" s="1607">
        <f t="shared" si="48"/>
        <v>2.5244026773068904</v>
      </c>
      <c r="BE76" s="1606">
        <f t="shared" si="34"/>
        <v>875.27701699343083</v>
      </c>
      <c r="BF76" s="1608">
        <v>0</v>
      </c>
      <c r="BG76" s="1609">
        <f t="shared" si="35"/>
        <v>875.27701699343083</v>
      </c>
      <c r="BI76" s="1605">
        <f t="shared" si="36"/>
        <v>413.06606569957484</v>
      </c>
      <c r="BJ76" s="1606">
        <f t="shared" si="37"/>
        <v>459.68654861654915</v>
      </c>
      <c r="BK76" s="1607">
        <f t="shared" si="38"/>
        <v>2.5244026773068904</v>
      </c>
      <c r="BL76" s="1606">
        <f t="shared" si="39"/>
        <v>875.27701699343083</v>
      </c>
      <c r="BM76" s="1608">
        <v>0</v>
      </c>
      <c r="BN76" s="1609">
        <f t="shared" si="40"/>
        <v>875.27701699343083</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4810.4007183137001</v>
      </c>
      <c r="Y77" s="885">
        <f>Parameters!S178</f>
        <v>0.71500000000000008</v>
      </c>
      <c r="Z77" s="885">
        <f t="shared" si="9"/>
        <v>0.4</v>
      </c>
      <c r="AA77" s="884">
        <f t="shared" si="10"/>
        <v>687.88730271885925</v>
      </c>
      <c r="AB77" s="884">
        <f t="shared" si="11"/>
        <v>687.88730271885925</v>
      </c>
      <c r="AC77" s="886">
        <f t="shared" si="12"/>
        <v>0</v>
      </c>
      <c r="AD77" s="884">
        <f t="shared" si="13"/>
        <v>14199.973604763094</v>
      </c>
      <c r="AE77" s="884">
        <f t="shared" si="14"/>
        <v>692.77947903326424</v>
      </c>
      <c r="AF77" s="897">
        <f t="shared" si="15"/>
        <v>461.85298602217614</v>
      </c>
      <c r="AG77" s="1450">
        <f t="shared" si="51"/>
        <v>7.8625990078042343E-2</v>
      </c>
      <c r="AH77" s="891">
        <f>'Baseline data (from input)'!AS63*AG77</f>
        <v>4810.4007183137001</v>
      </c>
      <c r="AI77" s="885">
        <f>Parameters!S178</f>
        <v>0.71500000000000008</v>
      </c>
      <c r="AJ77" s="885">
        <f t="shared" si="17"/>
        <v>0.4</v>
      </c>
      <c r="AK77" s="884">
        <f t="shared" si="18"/>
        <v>687.88730271885925</v>
      </c>
      <c r="AL77" s="884">
        <f t="shared" si="19"/>
        <v>687.88730271885925</v>
      </c>
      <c r="AM77" s="886">
        <f t="shared" si="20"/>
        <v>0</v>
      </c>
      <c r="AN77" s="884">
        <f t="shared" si="21"/>
        <v>14199.973604763094</v>
      </c>
      <c r="AO77" s="884">
        <f t="shared" si="22"/>
        <v>692.77947903326424</v>
      </c>
      <c r="AP77" s="897">
        <f t="shared" si="23"/>
        <v>461.85298602217614</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461.85298602217614</v>
      </c>
      <c r="BD77" s="1607">
        <f t="shared" si="48"/>
        <v>2.8636590545442755</v>
      </c>
      <c r="BE77" s="1606">
        <f t="shared" si="34"/>
        <v>889.23428451745849</v>
      </c>
      <c r="BF77" s="1608">
        <v>0</v>
      </c>
      <c r="BG77" s="1609">
        <f t="shared" si="35"/>
        <v>889.23428451745849</v>
      </c>
      <c r="BI77" s="1605">
        <f t="shared" si="36"/>
        <v>424.51763944073804</v>
      </c>
      <c r="BJ77" s="1606">
        <f t="shared" si="37"/>
        <v>461.85298602217614</v>
      </c>
      <c r="BK77" s="1607">
        <f t="shared" si="38"/>
        <v>2.8636590545442755</v>
      </c>
      <c r="BL77" s="1606">
        <f t="shared" si="39"/>
        <v>889.23428451745849</v>
      </c>
      <c r="BM77" s="1608">
        <v>0</v>
      </c>
      <c r="BN77" s="1609">
        <f t="shared" si="40"/>
        <v>889.23428451745849</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4196.3218881432249</v>
      </c>
      <c r="Y78" s="885">
        <f>Parameters!S179</f>
        <v>0.71500000000000008</v>
      </c>
      <c r="Z78" s="885">
        <f t="shared" si="9"/>
        <v>0.4</v>
      </c>
      <c r="AA78" s="884">
        <f t="shared" si="10"/>
        <v>600.07403000448119</v>
      </c>
      <c r="AB78" s="884">
        <f t="shared" si="11"/>
        <v>600.07403000448119</v>
      </c>
      <c r="AC78" s="886">
        <f t="shared" si="12"/>
        <v>0</v>
      </c>
      <c r="AD78" s="884">
        <f t="shared" si="13"/>
        <v>14107.50674998861</v>
      </c>
      <c r="AE78" s="884">
        <f t="shared" si="14"/>
        <v>692.54088477896664</v>
      </c>
      <c r="AF78" s="897">
        <f t="shared" si="15"/>
        <v>461.69392318597778</v>
      </c>
      <c r="AG78" s="1450">
        <f t="shared" si="51"/>
        <v>6.7295416283688014E-2</v>
      </c>
      <c r="AH78" s="891">
        <f>'Baseline data (from input)'!AS64*AG78</f>
        <v>4196.3218881432249</v>
      </c>
      <c r="AI78" s="885">
        <f>Parameters!S179</f>
        <v>0.71500000000000008</v>
      </c>
      <c r="AJ78" s="885">
        <f t="shared" si="17"/>
        <v>0.4</v>
      </c>
      <c r="AK78" s="884">
        <f t="shared" si="18"/>
        <v>600.07403000448119</v>
      </c>
      <c r="AL78" s="884">
        <f t="shared" si="19"/>
        <v>600.07403000448119</v>
      </c>
      <c r="AM78" s="886">
        <f t="shared" si="20"/>
        <v>0</v>
      </c>
      <c r="AN78" s="884">
        <f t="shared" si="21"/>
        <v>14107.50674998861</v>
      </c>
      <c r="AO78" s="884">
        <f t="shared" si="22"/>
        <v>692.54088477896664</v>
      </c>
      <c r="AP78" s="897">
        <f t="shared" si="23"/>
        <v>461.69392318597778</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461.69392318597778</v>
      </c>
      <c r="BD78" s="1607">
        <f t="shared" si="48"/>
        <v>3.183158678418724</v>
      </c>
      <c r="BE78" s="1606">
        <f t="shared" si="34"/>
        <v>900.63599752324797</v>
      </c>
      <c r="BF78" s="1608">
        <v>0</v>
      </c>
      <c r="BG78" s="1609">
        <f t="shared" si="35"/>
        <v>900.63599752324797</v>
      </c>
      <c r="BI78" s="1605">
        <f t="shared" si="36"/>
        <v>435.75891565885144</v>
      </c>
      <c r="BJ78" s="1606">
        <f t="shared" si="37"/>
        <v>461.69392318597778</v>
      </c>
      <c r="BK78" s="1607">
        <f t="shared" si="38"/>
        <v>3.183158678418724</v>
      </c>
      <c r="BL78" s="1606">
        <f t="shared" si="39"/>
        <v>900.63599752324797</v>
      </c>
      <c r="BM78" s="1608">
        <v>0</v>
      </c>
      <c r="BN78" s="1609">
        <f t="shared" si="40"/>
        <v>900.63599752324797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3393.3268299990286</v>
      </c>
      <c r="Y79" s="885">
        <f>Parameters!S180</f>
        <v>0.71500000000000008</v>
      </c>
      <c r="Z79" s="885">
        <f t="shared" si="9"/>
        <v>0.4</v>
      </c>
      <c r="AA79" s="884">
        <f t="shared" si="10"/>
        <v>485.24573668986119</v>
      </c>
      <c r="AB79" s="884">
        <f t="shared" si="11"/>
        <v>485.24573668986119</v>
      </c>
      <c r="AC79" s="886">
        <f t="shared" si="12"/>
        <v>0</v>
      </c>
      <c r="AD79" s="884">
        <f t="shared" si="13"/>
        <v>13904.721263621466</v>
      </c>
      <c r="AE79" s="884">
        <f t="shared" si="14"/>
        <v>688.03122305700617</v>
      </c>
      <c r="AF79" s="897">
        <f t="shared" si="15"/>
        <v>458.68748203800413</v>
      </c>
      <c r="AG79" s="1450">
        <f t="shared" si="51"/>
        <v>5.5964842489333685E-2</v>
      </c>
      <c r="AH79" s="891">
        <f>'Baseline data (from input)'!AS65*AG79</f>
        <v>3393.3268299990286</v>
      </c>
      <c r="AI79" s="885">
        <f>Parameters!S180</f>
        <v>0.71500000000000008</v>
      </c>
      <c r="AJ79" s="885">
        <f t="shared" si="17"/>
        <v>0.4</v>
      </c>
      <c r="AK79" s="884">
        <f t="shared" si="18"/>
        <v>485.24573668986119</v>
      </c>
      <c r="AL79" s="884">
        <f t="shared" si="19"/>
        <v>485.24573668986119</v>
      </c>
      <c r="AM79" s="886">
        <f t="shared" si="20"/>
        <v>0</v>
      </c>
      <c r="AN79" s="884">
        <f t="shared" si="21"/>
        <v>13904.721263621466</v>
      </c>
      <c r="AO79" s="884">
        <f t="shared" si="22"/>
        <v>688.03122305700617</v>
      </c>
      <c r="AP79" s="897">
        <f t="shared" si="23"/>
        <v>458.68748203800413</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458.68748203800413</v>
      </c>
      <c r="BD79" s="1607">
        <f t="shared" si="48"/>
        <v>3.484052092677187</v>
      </c>
      <c r="BE79" s="1606">
        <f t="shared" si="34"/>
        <v>908.97830463176604</v>
      </c>
      <c r="BF79" s="1608">
        <v>0</v>
      </c>
      <c r="BG79" s="1609">
        <f t="shared" si="35"/>
        <v>908.97830463176604</v>
      </c>
      <c r="BI79" s="1605">
        <f t="shared" si="36"/>
        <v>446.80677050108471</v>
      </c>
      <c r="BJ79" s="1606">
        <f t="shared" si="37"/>
        <v>458.68748203800413</v>
      </c>
      <c r="BK79" s="1607">
        <f t="shared" si="38"/>
        <v>3.484052092677187</v>
      </c>
      <c r="BL79" s="1606">
        <f t="shared" si="39"/>
        <v>908.97830463176604</v>
      </c>
      <c r="BM79" s="1608">
        <v>0</v>
      </c>
      <c r="BN79" s="1609">
        <f t="shared" si="40"/>
        <v>908.97830463176604</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2753.4255817461535</v>
      </c>
      <c r="Y80" s="885">
        <f>Parameters!S181</f>
        <v>0.71500000000000008</v>
      </c>
      <c r="Z80" s="885">
        <f t="shared" si="9"/>
        <v>0.4</v>
      </c>
      <c r="AA80" s="884">
        <f t="shared" si="10"/>
        <v>393.73985818969999</v>
      </c>
      <c r="AB80" s="884">
        <f t="shared" si="11"/>
        <v>393.73985818969999</v>
      </c>
      <c r="AC80" s="886">
        <f t="shared" si="12"/>
        <v>0</v>
      </c>
      <c r="AD80" s="884">
        <f t="shared" si="13"/>
        <v>13620.319863627188</v>
      </c>
      <c r="AE80" s="884">
        <f t="shared" si="14"/>
        <v>678.14125818397793</v>
      </c>
      <c r="AF80" s="897">
        <f t="shared" si="15"/>
        <v>452.09417212265197</v>
      </c>
      <c r="AG80" s="1450">
        <f t="shared" si="51"/>
        <v>4.4634268694979357E-2</v>
      </c>
      <c r="AH80" s="891">
        <f>'Baseline data (from input)'!AS66*AG80</f>
        <v>2753.4255817461535</v>
      </c>
      <c r="AI80" s="885">
        <f>Parameters!S181</f>
        <v>0.71500000000000008</v>
      </c>
      <c r="AJ80" s="885">
        <f t="shared" si="17"/>
        <v>0.4</v>
      </c>
      <c r="AK80" s="884">
        <f t="shared" si="18"/>
        <v>393.73985818969999</v>
      </c>
      <c r="AL80" s="884">
        <f t="shared" si="19"/>
        <v>393.73985818969999</v>
      </c>
      <c r="AM80" s="886">
        <f t="shared" si="20"/>
        <v>0</v>
      </c>
      <c r="AN80" s="884">
        <f t="shared" si="21"/>
        <v>13620.319863627188</v>
      </c>
      <c r="AO80" s="884">
        <f t="shared" si="22"/>
        <v>678.14125818397793</v>
      </c>
      <c r="AP80" s="897">
        <f t="shared" si="23"/>
        <v>452.09417212265197</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452.09417212265197</v>
      </c>
      <c r="BD80" s="1607">
        <f t="shared" si="48"/>
        <v>3.76742283861488</v>
      </c>
      <c r="BE80" s="1606">
        <f t="shared" si="34"/>
        <v>913.52627436617024</v>
      </c>
      <c r="BF80" s="1608">
        <v>0</v>
      </c>
      <c r="BG80" s="1609">
        <f t="shared" si="35"/>
        <v>913.52627436617024</v>
      </c>
      <c r="BI80" s="1605">
        <f t="shared" si="36"/>
        <v>457.66467940490338</v>
      </c>
      <c r="BJ80" s="1606">
        <f t="shared" si="37"/>
        <v>452.09417212265197</v>
      </c>
      <c r="BK80" s="1607">
        <f t="shared" si="38"/>
        <v>3.76742283861488</v>
      </c>
      <c r="BL80" s="1606">
        <f t="shared" si="39"/>
        <v>913.52627436617024</v>
      </c>
      <c r="BM80" s="1608">
        <v>0</v>
      </c>
      <c r="BN80" s="1609">
        <f t="shared" si="40"/>
        <v>913.52627436617024</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2094.8362599747988</v>
      </c>
      <c r="Y81" s="885">
        <f>Parameters!S182</f>
        <v>0.71500000000000008</v>
      </c>
      <c r="Z81" s="885">
        <f t="shared" si="9"/>
        <v>0.4</v>
      </c>
      <c r="AA81" s="884">
        <f t="shared" si="10"/>
        <v>299.56158517639625</v>
      </c>
      <c r="AB81" s="884">
        <f t="shared" si="11"/>
        <v>299.56158517639625</v>
      </c>
      <c r="AC81" s="886">
        <f t="shared" si="12"/>
        <v>0</v>
      </c>
      <c r="AD81" s="884">
        <f t="shared" si="13"/>
        <v>13255.610610570129</v>
      </c>
      <c r="AE81" s="884">
        <f t="shared" si="14"/>
        <v>664.27083823345436</v>
      </c>
      <c r="AF81" s="897">
        <f t="shared" si="15"/>
        <v>442.84722548896957</v>
      </c>
      <c r="AG81" s="1450">
        <f t="shared" si="51"/>
        <v>3.3303694900625028E-2</v>
      </c>
      <c r="AH81" s="891">
        <f>'Baseline data (from input)'!AS67*AG81</f>
        <v>2094.8362599747988</v>
      </c>
      <c r="AI81" s="885">
        <f>Parameters!S182</f>
        <v>0.71500000000000008</v>
      </c>
      <c r="AJ81" s="885">
        <f t="shared" si="17"/>
        <v>0.4</v>
      </c>
      <c r="AK81" s="884">
        <f t="shared" si="18"/>
        <v>299.56158517639625</v>
      </c>
      <c r="AL81" s="884">
        <f t="shared" si="19"/>
        <v>299.56158517639625</v>
      </c>
      <c r="AM81" s="886">
        <f t="shared" si="20"/>
        <v>0</v>
      </c>
      <c r="AN81" s="884">
        <f t="shared" si="21"/>
        <v>13255.610610570129</v>
      </c>
      <c r="AO81" s="884">
        <f t="shared" si="22"/>
        <v>664.27083823345436</v>
      </c>
      <c r="AP81" s="897">
        <f t="shared" si="23"/>
        <v>442.84722548896957</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442.84722548896957</v>
      </c>
      <c r="BD81" s="1607">
        <f t="shared" si="48"/>
        <v>4.034291356994312</v>
      </c>
      <c r="BE81" s="1606">
        <f t="shared" si="34"/>
        <v>912.46544774098629</v>
      </c>
      <c r="BF81" s="1608">
        <v>0</v>
      </c>
      <c r="BG81" s="1609">
        <f t="shared" si="35"/>
        <v>912.46544774098629</v>
      </c>
      <c r="BI81" s="1605">
        <f t="shared" si="36"/>
        <v>465.58393089502232</v>
      </c>
      <c r="BJ81" s="1606">
        <f t="shared" si="37"/>
        <v>442.84722548896957</v>
      </c>
      <c r="BK81" s="1607">
        <f t="shared" si="38"/>
        <v>4.034291356994312</v>
      </c>
      <c r="BL81" s="1606">
        <f t="shared" si="39"/>
        <v>912.46544774098629</v>
      </c>
      <c r="BM81" s="1608">
        <v>0</v>
      </c>
      <c r="BN81" s="1609">
        <f t="shared" si="40"/>
        <v>912.46544774098629</v>
      </c>
      <c r="BU81" s="314"/>
    </row>
    <row r="82" spans="1:73">
      <c r="A82" s="819">
        <f>'Input data'!A112</f>
        <v>2012</v>
      </c>
      <c r="B82" s="867">
        <f>'Input data'!B112</f>
        <v>52.325000000000003</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18374.59528039318</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808.03671174097656</v>
      </c>
      <c r="R82" s="884">
        <f t="shared" si="3"/>
        <v>808.03671174097656</v>
      </c>
      <c r="S82" s="886">
        <f t="shared" si="4"/>
        <v>0</v>
      </c>
      <c r="T82" s="884">
        <f t="shared" si="5"/>
        <v>14602.667395849543</v>
      </c>
      <c r="U82" s="884">
        <f t="shared" si="6"/>
        <v>707.26583927658862</v>
      </c>
      <c r="V82" s="897">
        <f t="shared" si="7"/>
        <v>471.51055951772577</v>
      </c>
      <c r="W82" s="1451">
        <f>D13</f>
        <v>2.197312110627072E-2</v>
      </c>
      <c r="X82" s="891">
        <f>'Baseline data (from input)'!AS68*W82</f>
        <v>1394.4586468111293</v>
      </c>
      <c r="Y82" s="885">
        <f>Parameters!S183</f>
        <v>0.71500000000000008</v>
      </c>
      <c r="Z82" s="885">
        <f t="shared" si="9"/>
        <v>0.4</v>
      </c>
      <c r="AA82" s="884">
        <f t="shared" si="10"/>
        <v>199.40758649399152</v>
      </c>
      <c r="AB82" s="884">
        <f t="shared" si="11"/>
        <v>199.40758649399152</v>
      </c>
      <c r="AC82" s="886">
        <f t="shared" si="12"/>
        <v>0</v>
      </c>
      <c r="AD82" s="884">
        <f t="shared" si="13"/>
        <v>12808.534438992174</v>
      </c>
      <c r="AE82" s="884">
        <f t="shared" si="14"/>
        <v>646.48375807194691</v>
      </c>
      <c r="AF82" s="897">
        <f t="shared" si="15"/>
        <v>430.98917204796459</v>
      </c>
      <c r="AG82" s="1451">
        <f>$D$13</f>
        <v>2.197312110627072E-2</v>
      </c>
      <c r="AH82" s="891">
        <f>'Baseline data (from input)'!AS68*AG82</f>
        <v>1394.4586468111293</v>
      </c>
      <c r="AI82" s="885">
        <f>Parameters!S183</f>
        <v>0.71500000000000008</v>
      </c>
      <c r="AJ82" s="885">
        <f t="shared" si="17"/>
        <v>0.4</v>
      </c>
      <c r="AK82" s="884">
        <f t="shared" si="18"/>
        <v>199.40758649399152</v>
      </c>
      <c r="AL82" s="884">
        <f t="shared" si="19"/>
        <v>199.40758649399152</v>
      </c>
      <c r="AM82" s="886">
        <f t="shared" si="20"/>
        <v>0</v>
      </c>
      <c r="AN82" s="884">
        <f t="shared" si="21"/>
        <v>12808.534438992174</v>
      </c>
      <c r="AO82" s="884">
        <f t="shared" si="22"/>
        <v>646.48375807194691</v>
      </c>
      <c r="AP82" s="897">
        <f t="shared" si="23"/>
        <v>430.98917204796459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430.98917204796459</v>
      </c>
      <c r="BD82" s="1607">
        <f t="shared" si="48"/>
        <v>4.2856186627342376</v>
      </c>
      <c r="BE82" s="1606">
        <f t="shared" si="34"/>
        <v>906.78535022842459</v>
      </c>
      <c r="BF82" s="1608">
        <v>0</v>
      </c>
      <c r="BG82" s="1609">
        <f t="shared" si="35"/>
        <v>906.78535022842459</v>
      </c>
      <c r="BI82" s="1605">
        <f t="shared" si="36"/>
        <v>471.51055951772577</v>
      </c>
      <c r="BJ82" s="1606">
        <f t="shared" si="37"/>
        <v>430.98917204796459</v>
      </c>
      <c r="BK82" s="1607">
        <f t="shared" si="38"/>
        <v>4.2856186627342376</v>
      </c>
      <c r="BL82" s="1606">
        <f t="shared" si="39"/>
        <v>906.78535022842459</v>
      </c>
      <c r="BM82" s="1608">
        <v>0</v>
      </c>
      <c r="BN82" s="1609">
        <f t="shared" si="40"/>
        <v>906.78535022842459</v>
      </c>
      <c r="BU82" s="314"/>
    </row>
    <row r="83" spans="1:73">
      <c r="A83" s="819">
        <f>'Input data'!A113</f>
        <v>2013</v>
      </c>
      <c r="B83" s="867">
        <f>'Input data'!B113</f>
        <v>53.103999999999999</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16840.658038780697</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740.58066246123144</v>
      </c>
      <c r="R83" s="884">
        <f t="shared" si="3"/>
        <v>740.58066246123144</v>
      </c>
      <c r="S83" s="886">
        <f t="shared" si="4"/>
        <v>0</v>
      </c>
      <c r="T83" s="884">
        <f t="shared" si="5"/>
        <v>14631.067565590532</v>
      </c>
      <c r="U83" s="884">
        <f t="shared" si="6"/>
        <v>712.180492720242</v>
      </c>
      <c r="V83" s="897">
        <f t="shared" si="7"/>
        <v>474.78699514682802</v>
      </c>
      <c r="W83" s="1451">
        <f>W82</f>
        <v>2.197312110627072E-2</v>
      </c>
      <c r="X83" s="891">
        <f>'Baseline data (from input)'!AS69*W83</f>
        <v>1429.0071094041416</v>
      </c>
      <c r="Y83" s="885">
        <f>Parameters!S184</f>
        <v>0.71500000000000008</v>
      </c>
      <c r="Z83" s="885">
        <f t="shared" si="9"/>
        <v>0.4</v>
      </c>
      <c r="AA83" s="884">
        <f t="shared" si="10"/>
        <v>204.3480166447923</v>
      </c>
      <c r="AB83" s="884">
        <f t="shared" si="11"/>
        <v>204.3480166447923</v>
      </c>
      <c r="AC83" s="886">
        <f t="shared" si="12"/>
        <v>0</v>
      </c>
      <c r="AD83" s="884">
        <f t="shared" si="13"/>
        <v>12388.202859744893</v>
      </c>
      <c r="AE83" s="884">
        <f t="shared" si="14"/>
        <v>624.67959589207248</v>
      </c>
      <c r="AF83" s="897">
        <f t="shared" si="15"/>
        <v>416.45306392804832</v>
      </c>
      <c r="AG83" s="1451">
        <f>AG82</f>
        <v>2.197312110627072E-2</v>
      </c>
      <c r="AH83" s="891">
        <f>'Baseline data (from input)'!AS69*AG83</f>
        <v>1429.0071094041416</v>
      </c>
      <c r="AI83" s="885">
        <f>Parameters!S184</f>
        <v>0.71500000000000008</v>
      </c>
      <c r="AJ83" s="885">
        <f t="shared" si="17"/>
        <v>0.4</v>
      </c>
      <c r="AK83" s="884">
        <f t="shared" si="18"/>
        <v>204.3480166447923</v>
      </c>
      <c r="AL83" s="884">
        <f t="shared" si="19"/>
        <v>204.3480166447923</v>
      </c>
      <c r="AM83" s="886">
        <f t="shared" si="20"/>
        <v>0</v>
      </c>
      <c r="AN83" s="884">
        <f t="shared" si="21"/>
        <v>12388.202859744893</v>
      </c>
      <c r="AO83" s="884">
        <f t="shared" si="22"/>
        <v>624.67959589207248</v>
      </c>
      <c r="AP83" s="897">
        <f t="shared" si="23"/>
        <v>416.45306392804832</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474.78699514682802</v>
      </c>
      <c r="BC83" s="1606">
        <f t="shared" si="32"/>
        <v>416.45306392804832</v>
      </c>
      <c r="BD83" s="1607">
        <f t="shared" si="48"/>
        <v>4.5223098056013837</v>
      </c>
      <c r="BE83" s="1606">
        <f t="shared" si="34"/>
        <v>895.76236888047777</v>
      </c>
      <c r="BF83" s="1608">
        <v>0</v>
      </c>
      <c r="BG83" s="1609">
        <f t="shared" si="35"/>
        <v>895.76236888047777</v>
      </c>
      <c r="BI83" s="1605">
        <f t="shared" si="36"/>
        <v>474.78699514682802</v>
      </c>
      <c r="BJ83" s="1606">
        <f t="shared" si="37"/>
        <v>416.45306392804832</v>
      </c>
      <c r="BK83" s="1607">
        <f t="shared" si="38"/>
        <v>4.5223098056013837</v>
      </c>
      <c r="BL83" s="1606">
        <f t="shared" si="39"/>
        <v>895.76236888047777</v>
      </c>
      <c r="BM83" s="1608">
        <v>0</v>
      </c>
      <c r="BN83" s="1609">
        <f t="shared" si="40"/>
        <v>895.76236888047777</v>
      </c>
      <c r="BU83" s="314"/>
    </row>
    <row r="84" spans="1:73">
      <c r="A84" s="819">
        <f>'Input data'!A114</f>
        <v>2014</v>
      </c>
      <c r="B84" s="867">
        <f>'Input data'!B114</f>
        <v>53.911999999999999</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15349.153981617965</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674.99064453119786</v>
      </c>
      <c r="R84" s="884">
        <f t="shared" si="3"/>
        <v>674.99064453119786</v>
      </c>
      <c r="S84" s="886">
        <f t="shared" si="4"/>
        <v>0</v>
      </c>
      <c r="T84" s="884">
        <f t="shared" si="5"/>
        <v>14592.492624778943</v>
      </c>
      <c r="U84" s="884">
        <f t="shared" si="6"/>
        <v>713.56558534278747</v>
      </c>
      <c r="V84" s="897">
        <f t="shared" si="7"/>
        <v>475.710390228525</v>
      </c>
      <c r="W84" s="1451">
        <f t="shared" ref="W84:W87" si="52">W83</f>
        <v>2.197312110627072E-2</v>
      </c>
      <c r="X84" s="891">
        <f>'Baseline data (from input)'!AS70*W84</f>
        <v>1455.8449372993139</v>
      </c>
      <c r="Y84" s="885">
        <f>Parameters!S185</f>
        <v>0.71500000000000008</v>
      </c>
      <c r="Z84" s="885">
        <f t="shared" si="9"/>
        <v>0.4</v>
      </c>
      <c r="AA84" s="884">
        <f t="shared" si="10"/>
        <v>208.1858260338019</v>
      </c>
      <c r="AB84" s="884">
        <f t="shared" si="11"/>
        <v>208.1858260338019</v>
      </c>
      <c r="AC84" s="886">
        <f t="shared" si="12"/>
        <v>0</v>
      </c>
      <c r="AD84" s="884">
        <f t="shared" si="13"/>
        <v>11992.208902907036</v>
      </c>
      <c r="AE84" s="884">
        <f t="shared" si="14"/>
        <v>604.17978287165886</v>
      </c>
      <c r="AF84" s="897">
        <f t="shared" si="15"/>
        <v>402.78652191443922</v>
      </c>
      <c r="AG84" s="1451">
        <f t="shared" ref="AG84:AG87" si="53">AG83</f>
        <v>2.197312110627072E-2</v>
      </c>
      <c r="AH84" s="891">
        <f>'Baseline data (from input)'!AS70*AG84</f>
        <v>1455.8449372993139</v>
      </c>
      <c r="AI84" s="885">
        <f>Parameters!S185</f>
        <v>0.71500000000000008</v>
      </c>
      <c r="AJ84" s="885">
        <f t="shared" si="17"/>
        <v>0.4</v>
      </c>
      <c r="AK84" s="884">
        <f t="shared" si="18"/>
        <v>208.1858260338019</v>
      </c>
      <c r="AL84" s="884">
        <f t="shared" si="19"/>
        <v>208.1858260338019</v>
      </c>
      <c r="AM84" s="886">
        <f t="shared" si="20"/>
        <v>0</v>
      </c>
      <c r="AN84" s="884">
        <f t="shared" si="21"/>
        <v>11992.208902907036</v>
      </c>
      <c r="AO84" s="884">
        <f t="shared" si="22"/>
        <v>604.17978287165886</v>
      </c>
      <c r="AP84" s="897">
        <f t="shared" si="23"/>
        <v>402.78652191443922</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475.710390228525</v>
      </c>
      <c r="BC84" s="1606">
        <f t="shared" si="32"/>
        <v>402.78652191443922</v>
      </c>
      <c r="BD84" s="1607">
        <f t="shared" si="48"/>
        <v>4.7452171293671848</v>
      </c>
      <c r="BE84" s="1606">
        <f t="shared" ref="BE84:BE120" si="54">SUM(BB84:BD84)</f>
        <v>883.24212927233145</v>
      </c>
      <c r="BF84" s="1608">
        <v>0</v>
      </c>
      <c r="BG84" s="1609">
        <f t="shared" si="35"/>
        <v>883.24212927233145</v>
      </c>
      <c r="BI84" s="1605">
        <f t="shared" si="36"/>
        <v>475.710390228525</v>
      </c>
      <c r="BJ84" s="1606">
        <f t="shared" si="37"/>
        <v>402.78652191443922</v>
      </c>
      <c r="BK84" s="1607">
        <f t="shared" si="38"/>
        <v>4.7452171293671848</v>
      </c>
      <c r="BL84" s="1606">
        <f t="shared" ref="BL84:BL120" si="55">SUM(BI84:BK84)</f>
        <v>883.24212927233145</v>
      </c>
      <c r="BM84" s="1608">
        <v>0</v>
      </c>
      <c r="BN84" s="1609">
        <f t="shared" si="40"/>
        <v>883.24212927233145</v>
      </c>
      <c r="BU84" s="314"/>
    </row>
    <row r="85" spans="1:73">
      <c r="A85" s="819">
        <f>'Input data'!A115</f>
        <v>2015</v>
      </c>
      <c r="B85" s="867">
        <f>'Input data'!B115</f>
        <v>54.75</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13901.439698167358</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611.32631498876003</v>
      </c>
      <c r="R85" s="884">
        <f t="shared" ref="R85:R120" si="58">Q85*$C$10</f>
        <v>611.32631498876003</v>
      </c>
      <c r="S85" s="886">
        <f t="shared" ref="S85:S120" si="59">Q85*(1-$C$10)</f>
        <v>0</v>
      </c>
      <c r="T85" s="884">
        <f t="shared" ref="T85:T115" si="60">R85+(T84*$C$8)</f>
        <v>14492.134676488147</v>
      </c>
      <c r="U85" s="884">
        <f t="shared" ref="U85:U120" si="61">S85+T84*(1-$C$8)</f>
        <v>711.68426327955535</v>
      </c>
      <c r="V85" s="897">
        <f t="shared" ref="V85:V120" si="62">U85*16/12*$C$11</f>
        <v>474.45617551970355</v>
      </c>
      <c r="W85" s="1451">
        <f t="shared" si="52"/>
        <v>2.197312110627072E-2</v>
      </c>
      <c r="X85" s="891">
        <f>'Baseline data (from input)'!AS71*W85</f>
        <v>1474.393832894307</v>
      </c>
      <c r="Y85" s="885">
        <f>Parameters!S186</f>
        <v>0.71500000000000008</v>
      </c>
      <c r="Z85" s="885">
        <f t="shared" ref="Z85:Z120" si="63">$D$3</f>
        <v>0.4</v>
      </c>
      <c r="AA85" s="884">
        <f t="shared" ref="AA85:AA119" si="64">X85*Z85*Y85*$D$4</f>
        <v>210.83831810388594</v>
      </c>
      <c r="AB85" s="884">
        <f t="shared" ref="AB85:AB120" si="65">AA85*$D$10</f>
        <v>210.83831810388594</v>
      </c>
      <c r="AC85" s="886">
        <f t="shared" ref="AC85:AC120" si="66">AA85*(1-$D$10)</f>
        <v>0</v>
      </c>
      <c r="AD85" s="884">
        <f t="shared" ref="AD85:AD120" si="67">AB85+(AD84*$D$8)</f>
        <v>11618.180291308485</v>
      </c>
      <c r="AE85" s="884">
        <f t="shared" ref="AE85:AE120" si="68">AC85+AD84*(1-$D$8)</f>
        <v>584.86692970243712</v>
      </c>
      <c r="AF85" s="897">
        <f t="shared" ref="AF85:AF120" si="69">AE85*16/12*$D$11</f>
        <v>389.91128646829139</v>
      </c>
      <c r="AG85" s="1451">
        <f t="shared" si="53"/>
        <v>2.197312110627072E-2</v>
      </c>
      <c r="AH85" s="891">
        <f>'Baseline data (from input)'!AS71*AG85</f>
        <v>1474.393832894307</v>
      </c>
      <c r="AI85" s="885">
        <f>Parameters!S186</f>
        <v>0.71500000000000008</v>
      </c>
      <c r="AJ85" s="885">
        <f t="shared" ref="AJ85:AJ120" si="70">$D$3</f>
        <v>0.4</v>
      </c>
      <c r="AK85" s="884">
        <f t="shared" ref="AK85:AK120" si="71">AH85*AJ85*AI85*$D$4</f>
        <v>210.83831810388594</v>
      </c>
      <c r="AL85" s="884">
        <f t="shared" ref="AL85:AL120" si="72">AK85*$D$10</f>
        <v>210.83831810388594</v>
      </c>
      <c r="AM85" s="886">
        <f t="shared" ref="AM85:AM120" si="73">AK85*(1-$D$10)</f>
        <v>0</v>
      </c>
      <c r="AN85" s="884">
        <f t="shared" ref="AN85:AN120" si="74">AL85+(AN84*$D$8)</f>
        <v>11618.180291308485</v>
      </c>
      <c r="AO85" s="884">
        <f t="shared" ref="AO85:AO120" si="75">AM85+AN84*(1-$D$8)</f>
        <v>584.86692970243712</v>
      </c>
      <c r="AP85" s="897">
        <f t="shared" ref="AP85:AP120" si="76">AO85*16/12*$D$11</f>
        <v>389.91128646829139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474.45617551970355</v>
      </c>
      <c r="BC85" s="1606">
        <f t="shared" ref="BC85:BC120" si="82">AF85</f>
        <v>389.91128646829139</v>
      </c>
      <c r="BD85" s="1607">
        <f t="shared" si="48"/>
        <v>4.9551433411659982</v>
      </c>
      <c r="BE85" s="1606">
        <f t="shared" si="54"/>
        <v>869.32260532916098</v>
      </c>
      <c r="BF85" s="1608">
        <v>0</v>
      </c>
      <c r="BG85" s="1609">
        <f t="shared" ref="BG85:BG120" si="83">BE85-BF85</f>
        <v>869.32260532916098</v>
      </c>
      <c r="BI85" s="1605">
        <f t="shared" ref="BI85:BI120" si="84">V85</f>
        <v>474.45617551970355</v>
      </c>
      <c r="BJ85" s="1606">
        <f t="shared" ref="BJ85:BJ120" si="85">AP85</f>
        <v>389.91128646829139</v>
      </c>
      <c r="BK85" s="1607">
        <f t="shared" ref="BK85:BK120" si="86">AZ85</f>
        <v>4.9551433411659982</v>
      </c>
      <c r="BL85" s="1606">
        <f t="shared" si="55"/>
        <v>869.32260532916098</v>
      </c>
      <c r="BM85" s="1608">
        <v>0</v>
      </c>
      <c r="BN85" s="1609">
        <f t="shared" ref="BN85:BN120" si="87">BL85-BM85</f>
        <v>869.32260532916098</v>
      </c>
      <c r="BU85" s="314"/>
    </row>
    <row r="86" spans="1:73">
      <c r="A86" s="819">
        <f>'Input data'!A116</f>
        <v>2016</v>
      </c>
      <c r="B86" s="867">
        <f>'Input data'!B116</f>
        <v>55.62</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12499.261385037438</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549.66446414924781</v>
      </c>
      <c r="R86" s="884">
        <f t="shared" si="58"/>
        <v>549.66446414924781</v>
      </c>
      <c r="S86" s="886">
        <f t="shared" si="59"/>
        <v>0</v>
      </c>
      <c r="T86" s="884">
        <f t="shared" si="60"/>
        <v>14335.00939225191</v>
      </c>
      <c r="U86" s="884">
        <f t="shared" si="61"/>
        <v>706.78974838548561</v>
      </c>
      <c r="V86" s="897">
        <f t="shared" si="62"/>
        <v>471.19316559032376</v>
      </c>
      <c r="W86" s="1451">
        <f t="shared" si="52"/>
        <v>2.197312110627072E-2</v>
      </c>
      <c r="X86" s="891">
        <f>'Baseline data (from input)'!AS72*W86</f>
        <v>1486.1862848353171</v>
      </c>
      <c r="Y86" s="885">
        <f>Parameters!S187</f>
        <v>0.71500000000000008</v>
      </c>
      <c r="Z86" s="885">
        <f t="shared" si="63"/>
        <v>0.4</v>
      </c>
      <c r="AA86" s="884">
        <f t="shared" si="64"/>
        <v>212.52463873145038</v>
      </c>
      <c r="AB86" s="884">
        <f t="shared" si="65"/>
        <v>212.52463873145038</v>
      </c>
      <c r="AC86" s="886">
        <f t="shared" si="66"/>
        <v>0</v>
      </c>
      <c r="AD86" s="884">
        <f t="shared" si="67"/>
        <v>11264.079590978359</v>
      </c>
      <c r="AE86" s="884">
        <f t="shared" si="68"/>
        <v>566.62533906157694</v>
      </c>
      <c r="AF86" s="897">
        <f t="shared" si="69"/>
        <v>377.75022604105129</v>
      </c>
      <c r="AG86" s="1451">
        <f t="shared" si="53"/>
        <v>2.197312110627072E-2</v>
      </c>
      <c r="AH86" s="891">
        <f>'Baseline data (from input)'!AS72*AG86</f>
        <v>1486.1862848353171</v>
      </c>
      <c r="AI86" s="885">
        <f>Parameters!S187</f>
        <v>0.71500000000000008</v>
      </c>
      <c r="AJ86" s="885">
        <f t="shared" si="70"/>
        <v>0.4</v>
      </c>
      <c r="AK86" s="884">
        <f t="shared" si="71"/>
        <v>212.52463873145038</v>
      </c>
      <c r="AL86" s="884">
        <f t="shared" si="72"/>
        <v>212.52463873145038</v>
      </c>
      <c r="AM86" s="886">
        <f t="shared" si="73"/>
        <v>0</v>
      </c>
      <c r="AN86" s="884">
        <f t="shared" si="74"/>
        <v>11264.079590978359</v>
      </c>
      <c r="AO86" s="884">
        <f t="shared" si="75"/>
        <v>566.62533906157694</v>
      </c>
      <c r="AP86" s="897">
        <f t="shared" si="76"/>
        <v>377.75022604105129</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471.19316559032376</v>
      </c>
      <c r="BC86" s="1606">
        <f t="shared" si="82"/>
        <v>377.75022604105129</v>
      </c>
      <c r="BD86" s="1607">
        <f t="shared" si="48"/>
        <v>5.1528444021078155</v>
      </c>
      <c r="BE86" s="1606">
        <f t="shared" si="54"/>
        <v>854.09623603348291</v>
      </c>
      <c r="BF86" s="1608">
        <v>0</v>
      </c>
      <c r="BG86" s="1609">
        <f t="shared" si="83"/>
        <v>854.09623603348291</v>
      </c>
      <c r="BI86" s="1605">
        <f t="shared" si="84"/>
        <v>471.19316559032376</v>
      </c>
      <c r="BJ86" s="1606">
        <f t="shared" si="85"/>
        <v>377.75022604105129</v>
      </c>
      <c r="BK86" s="1607">
        <f t="shared" si="86"/>
        <v>5.1528444021078155</v>
      </c>
      <c r="BL86" s="1606">
        <f t="shared" si="55"/>
        <v>854.09623603348291</v>
      </c>
      <c r="BM86" s="1608">
        <v>0</v>
      </c>
      <c r="BN86" s="1609">
        <f t="shared" si="87"/>
        <v>854.09623603348291</v>
      </c>
      <c r="BU86" s="314"/>
    </row>
    <row r="87" spans="1:73" ht="13.2" customHeight="1" thickBot="1">
      <c r="A87" s="819">
        <f>'Input data'!A117</f>
        <v>2017</v>
      </c>
      <c r="B87" s="867">
        <f>'Input data'!B117</f>
        <v>56.521999999999998</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11144.041726220405</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490.06765561623229</v>
      </c>
      <c r="R87" s="894">
        <f t="shared" si="58"/>
        <v>490.06765561623229</v>
      </c>
      <c r="S87" s="895">
        <f t="shared" si="59"/>
        <v>0</v>
      </c>
      <c r="T87" s="894">
        <f t="shared" si="60"/>
        <v>14125.950390020347</v>
      </c>
      <c r="U87" s="894">
        <f t="shared" si="61"/>
        <v>699.12665784779551</v>
      </c>
      <c r="V87" s="898">
        <f t="shared" si="62"/>
        <v>466.08443856519699</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10929.772208856582</v>
      </c>
      <c r="AE87" s="884">
        <f t="shared" si="68"/>
        <v>549.35564412177644</v>
      </c>
      <c r="AF87" s="897">
        <f t="shared" si="69"/>
        <v>366.23709608118429</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10929.772208856582</v>
      </c>
      <c r="AO87" s="884">
        <f t="shared" si="75"/>
        <v>549.35564412177644</v>
      </c>
      <c r="AP87" s="897">
        <f t="shared" si="76"/>
        <v>366.23709608118429</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466.08443856519699</v>
      </c>
      <c r="BC87" s="1611">
        <f t="shared" si="82"/>
        <v>366.23709608118429</v>
      </c>
      <c r="BD87" s="1612">
        <f t="shared" si="48"/>
        <v>5.3390322495547968</v>
      </c>
      <c r="BE87" s="1611">
        <f t="shared" si="54"/>
        <v>837.66056689593597</v>
      </c>
      <c r="BF87" s="1613">
        <v>0</v>
      </c>
      <c r="BG87" s="1614">
        <f t="shared" si="83"/>
        <v>837.66056689593597</v>
      </c>
      <c r="BI87" s="1610">
        <f t="shared" si="84"/>
        <v>466.08443856519699</v>
      </c>
      <c r="BJ87" s="1611">
        <f t="shared" si="85"/>
        <v>366.23709608118429</v>
      </c>
      <c r="BK87" s="1612">
        <f t="shared" si="86"/>
        <v>5.3390322495547968</v>
      </c>
      <c r="BL87" s="1611">
        <f t="shared" si="55"/>
        <v>837.66056689593597</v>
      </c>
      <c r="BM87" s="1613">
        <v>0</v>
      </c>
      <c r="BN87" s="1614">
        <f t="shared" si="87"/>
        <v>837.66056689593597</v>
      </c>
      <c r="BU87" s="314"/>
    </row>
    <row r="88" spans="1:73">
      <c r="A88" s="926">
        <f>'Input data'!A118</f>
        <v>2018</v>
      </c>
      <c r="B88" s="820">
        <f>'Input data'!B118</f>
        <v>57.436</v>
      </c>
      <c r="C88" s="820">
        <f>'Recycling - Case 3'!AK98/B88</f>
        <v>414.46380953618961</v>
      </c>
      <c r="D88" s="821">
        <f>'Recycling - Case 3'!AM98</f>
        <v>0.4400477267555471</v>
      </c>
      <c r="E88" s="822">
        <f>'Recycling - Case 3'!BE98</f>
        <v>0.23669038236001458</v>
      </c>
      <c r="F88" s="822">
        <f>'Recycling - Case 3'!BF98</f>
        <v>0.30018743824714528</v>
      </c>
      <c r="G88" s="822">
        <f>'Recycling - Case 3'!BG98</f>
        <v>5.9354170344532942E-2</v>
      </c>
      <c r="H88" s="822">
        <f>'Recycling - Case 3'!BH98</f>
        <v>0</v>
      </c>
      <c r="I88" s="822">
        <f>'Recycling - Case 3'!BI98</f>
        <v>0</v>
      </c>
      <c r="J88" s="822">
        <f>'Recycling - Case 3'!BJ98</f>
        <v>0</v>
      </c>
      <c r="K88" s="822">
        <f>'Recycling - Case 3'!BK98</f>
        <v>0.40376800904830723</v>
      </c>
      <c r="L88" s="823">
        <f t="shared" si="89"/>
        <v>1</v>
      </c>
      <c r="M88" s="4"/>
      <c r="N88" s="1015">
        <f>B88*C88*D88</f>
        <v>10475.39922264718</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0.11928271314124442</v>
      </c>
      <c r="Q88" s="836">
        <f t="shared" si="57"/>
        <v>469.05585520872216</v>
      </c>
      <c r="R88" s="836">
        <f t="shared" si="58"/>
        <v>469.05585520872216</v>
      </c>
      <c r="S88" s="837">
        <f t="shared" si="59"/>
        <v>0</v>
      </c>
      <c r="T88" s="836">
        <f t="shared" si="60"/>
        <v>13906.075515233413</v>
      </c>
      <c r="U88" s="836">
        <f t="shared" si="61"/>
        <v>688.93072999565561</v>
      </c>
      <c r="V88" s="1018">
        <f t="shared" si="62"/>
        <v>459.28715333043709</v>
      </c>
      <c r="X88" s="1010">
        <f>'Recycling - Case 3'!AM138</f>
        <v>1236.6652177866376</v>
      </c>
      <c r="Y88" s="1011">
        <f>Parameters!S258</f>
        <v>0.71500000000000008</v>
      </c>
      <c r="Z88" s="1011">
        <f t="shared" si="63"/>
        <v>0.4</v>
      </c>
      <c r="AA88" s="1012">
        <f t="shared" si="64"/>
        <v>176.8431261434892</v>
      </c>
      <c r="AB88" s="1012">
        <f t="shared" si="65"/>
        <v>176.8431261434892</v>
      </c>
      <c r="AC88" s="1013">
        <f t="shared" si="66"/>
        <v>0</v>
      </c>
      <c r="AD88" s="1012">
        <f t="shared" si="67"/>
        <v>10573.564054298035</v>
      </c>
      <c r="AE88" s="1012">
        <f t="shared" si="68"/>
        <v>533.05128070203773</v>
      </c>
      <c r="AF88" s="1014">
        <f t="shared" si="69"/>
        <v>355.36752046802513</v>
      </c>
      <c r="AH88" s="1010">
        <f>'Recycling - Case 3'!AM178</f>
        <v>1236.6652177866376</v>
      </c>
      <c r="AI88" s="1011">
        <f>Parameters!S258</f>
        <v>0.71500000000000008</v>
      </c>
      <c r="AJ88" s="1011">
        <f t="shared" si="70"/>
        <v>0.4</v>
      </c>
      <c r="AK88" s="1012">
        <f t="shared" si="71"/>
        <v>176.8431261434892</v>
      </c>
      <c r="AL88" s="1012">
        <f t="shared" si="72"/>
        <v>176.8431261434892</v>
      </c>
      <c r="AM88" s="1013">
        <f t="shared" si="73"/>
        <v>0</v>
      </c>
      <c r="AN88" s="1012">
        <f t="shared" si="74"/>
        <v>10573.564054298035</v>
      </c>
      <c r="AO88" s="1012">
        <f t="shared" si="75"/>
        <v>533.05128070203773</v>
      </c>
      <c r="AP88" s="1014">
        <f t="shared" si="76"/>
        <v>355.36752046802513</v>
      </c>
      <c r="AR88" s="849">
        <f>'Recycling - Case 3'!G98</f>
        <v>519.97374548094456</v>
      </c>
      <c r="AS88" s="847">
        <v>1</v>
      </c>
      <c r="AT88" s="847">
        <f t="shared" si="77"/>
        <v>0.05</v>
      </c>
      <c r="AU88" s="836">
        <f t="shared" si="78"/>
        <v>12.999343637023614</v>
      </c>
      <c r="AV88" s="836">
        <f t="shared" si="79"/>
        <v>12.999343637023614</v>
      </c>
      <c r="AW88" s="837">
        <f t="shared" si="80"/>
        <v>0</v>
      </c>
      <c r="AX88" s="836">
        <f t="shared" si="44"/>
        <v>146.76434998694339</v>
      </c>
      <c r="AY88" s="836">
        <f t="shared" si="49"/>
        <v>8.2715660412971381</v>
      </c>
      <c r="AZ88" s="929">
        <f t="shared" si="47"/>
        <v>5.514377360864759</v>
      </c>
      <c r="BA88" s="4"/>
      <c r="BB88" s="1052">
        <f t="shared" si="81"/>
        <v>459.28715333043709</v>
      </c>
      <c r="BC88" s="1053">
        <f t="shared" si="82"/>
        <v>355.36752046802513</v>
      </c>
      <c r="BD88" s="1081">
        <f>AZ88</f>
        <v>5.514377360864759</v>
      </c>
      <c r="BE88" s="1053">
        <f t="shared" si="54"/>
        <v>820.16905115932695</v>
      </c>
      <c r="BF88" s="1054">
        <v>0</v>
      </c>
      <c r="BG88" s="1074">
        <f t="shared" si="83"/>
        <v>820.16905115932695</v>
      </c>
      <c r="BI88" s="1052">
        <f t="shared" si="84"/>
        <v>459.28715333043709</v>
      </c>
      <c r="BJ88" s="1053">
        <f t="shared" si="85"/>
        <v>355.36752046802513</v>
      </c>
      <c r="BK88" s="1081">
        <f t="shared" si="86"/>
        <v>5.514377360864759</v>
      </c>
      <c r="BL88" s="1053">
        <f t="shared" si="55"/>
        <v>820.16905115932695</v>
      </c>
      <c r="BM88" s="1054">
        <v>0</v>
      </c>
      <c r="BN88" s="1074">
        <f t="shared" si="87"/>
        <v>820.16905115932695</v>
      </c>
    </row>
    <row r="89" spans="1:73">
      <c r="A89" s="927">
        <f>'Input data'!A119</f>
        <v>2019</v>
      </c>
      <c r="B89" s="824">
        <f>'Input data'!B119</f>
        <v>58.365000000000002</v>
      </c>
      <c r="C89" s="824">
        <f>'Recycling - Case 3'!AK99/B89</f>
        <v>406.33259652188701</v>
      </c>
      <c r="D89" s="825">
        <f>'Recycling - Case 3'!AM99</f>
        <v>0.41821401531401325</v>
      </c>
      <c r="E89" s="826">
        <f>'Recycling - Case 3'!BE99</f>
        <v>0.2333017706588183</v>
      </c>
      <c r="F89" s="826">
        <f>'Recycling - Case 3'!BF99</f>
        <v>0.29588976186649196</v>
      </c>
      <c r="G89" s="826">
        <f>'Recycling - Case 3'!BG99</f>
        <v>5.9682770506819721E-2</v>
      </c>
      <c r="H89" s="826">
        <f>'Recycling - Case 3'!BH99</f>
        <v>0</v>
      </c>
      <c r="I89" s="826">
        <f>'Recycling - Case 3'!BI99</f>
        <v>0</v>
      </c>
      <c r="J89" s="826">
        <f>'Recycling - Case 3'!BJ99</f>
        <v>0</v>
      </c>
      <c r="K89" s="826">
        <f>'Recycling - Case 3'!BK99</f>
        <v>0.4111256969678696</v>
      </c>
      <c r="L89" s="827">
        <f t="shared" si="89"/>
        <v>0.99999999999999956</v>
      </c>
      <c r="M89" s="4"/>
      <c r="N89" s="838">
        <f t="shared" si="56"/>
        <v>9918.1971363361608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0.11804632617484903</v>
      </c>
      <c r="Q89" s="832">
        <f t="shared" si="57"/>
        <v>451.66121324040751</v>
      </c>
      <c r="R89" s="832">
        <f t="shared" si="58"/>
        <v>451.66121324040751</v>
      </c>
      <c r="S89" s="835">
        <f t="shared" si="59"/>
        <v>0</v>
      </c>
      <c r="T89" s="832">
        <f t="shared" si="60"/>
        <v>13679.529422659358</v>
      </c>
      <c r="U89" s="832">
        <f t="shared" si="61"/>
        <v>678.20730581446344</v>
      </c>
      <c r="V89" s="839">
        <f t="shared" si="62"/>
        <v>452.13820387630898</v>
      </c>
      <c r="X89" s="852">
        <f>'Recycling - Case 3'!AM139</f>
        <v>1061.3855476720448</v>
      </c>
      <c r="Y89" s="853">
        <f>Parameters!S259</f>
        <v>0.71500000000000008</v>
      </c>
      <c r="Z89" s="853">
        <f t="shared" si="63"/>
        <v>0.4</v>
      </c>
      <c r="AA89" s="854">
        <f t="shared" si="64"/>
        <v>151.77813331710243</v>
      </c>
      <c r="AB89" s="854">
        <f t="shared" si="65"/>
        <v>151.77813331710243</v>
      </c>
      <c r="AC89" s="855">
        <f t="shared" si="66"/>
        <v>0</v>
      </c>
      <c r="AD89" s="854">
        <f t="shared" si="67"/>
        <v>10209.663383608458</v>
      </c>
      <c r="AE89" s="854">
        <f t="shared" si="68"/>
        <v>515.67880400667866</v>
      </c>
      <c r="AF89" s="856">
        <f t="shared" si="69"/>
        <v>343.78586933778575</v>
      </c>
      <c r="AH89" s="852">
        <f>'Recycling - Case 3'!AM179</f>
        <v>1061.3855476720448</v>
      </c>
      <c r="AI89" s="853">
        <f>Parameters!S259</f>
        <v>0.71500000000000008</v>
      </c>
      <c r="AJ89" s="853">
        <f t="shared" si="70"/>
        <v>0.4</v>
      </c>
      <c r="AK89" s="854">
        <f t="shared" si="71"/>
        <v>151.77813331710243</v>
      </c>
      <c r="AL89" s="854">
        <f t="shared" si="72"/>
        <v>151.77813331710243</v>
      </c>
      <c r="AM89" s="855">
        <f t="shared" si="73"/>
        <v>0</v>
      </c>
      <c r="AN89" s="854">
        <f t="shared" si="74"/>
        <v>10209.663383608458</v>
      </c>
      <c r="AO89" s="854">
        <f t="shared" si="75"/>
        <v>515.67880400667866</v>
      </c>
      <c r="AP89" s="856">
        <f t="shared" si="76"/>
        <v>343.78586933778575</v>
      </c>
      <c r="AR89" s="850">
        <f>'Recycling - Case 3'!G99</f>
        <v>539.43215426439122</v>
      </c>
      <c r="AS89" s="846">
        <v>1</v>
      </c>
      <c r="AT89" s="846">
        <f t="shared" si="77"/>
        <v>0.05</v>
      </c>
      <c r="AU89" s="832">
        <f t="shared" si="78"/>
        <v>13.485803856609781</v>
      </c>
      <c r="AV89" s="832">
        <f t="shared" si="79"/>
        <v>13.485803856609781</v>
      </c>
      <c r="AW89" s="835">
        <f t="shared" si="80"/>
        <v>0</v>
      </c>
      <c r="AX89" s="832">
        <f t="shared" si="44"/>
        <v>151.70326346885895</v>
      </c>
      <c r="AY89" s="832">
        <f t="shared" si="49"/>
        <v>8.5468903746942093</v>
      </c>
      <c r="AZ89" s="930">
        <f t="shared" si="47"/>
        <v>5.6979269164628059</v>
      </c>
      <c r="BA89" s="4"/>
      <c r="BB89" s="1055">
        <f t="shared" si="81"/>
        <v>452.13820387630898</v>
      </c>
      <c r="BC89" s="1056">
        <f t="shared" si="82"/>
        <v>343.78586933778575</v>
      </c>
      <c r="BD89" s="1082">
        <f t="shared" ref="BD89:BD120" si="90">AZ89</f>
        <v>5.6979269164628059</v>
      </c>
      <c r="BE89" s="1056">
        <f t="shared" si="54"/>
        <v>801.62200013055758</v>
      </c>
      <c r="BF89" s="167">
        <v>0</v>
      </c>
      <c r="BG89" s="1075">
        <f t="shared" si="83"/>
        <v>801.62200013055758</v>
      </c>
      <c r="BI89" s="1055">
        <f t="shared" si="84"/>
        <v>452.13820387630898</v>
      </c>
      <c r="BJ89" s="1056">
        <f t="shared" si="85"/>
        <v>343.78586933778575</v>
      </c>
      <c r="BK89" s="1082">
        <f t="shared" si="86"/>
        <v>5.6979269164628059</v>
      </c>
      <c r="BL89" s="1056">
        <f t="shared" si="55"/>
        <v>801.62200013055758</v>
      </c>
      <c r="BM89" s="167">
        <v>0</v>
      </c>
      <c r="BN89" s="1075">
        <f t="shared" si="87"/>
        <v>801.62200013055758</v>
      </c>
    </row>
    <row r="90" spans="1:73">
      <c r="A90" s="927">
        <f>'Input data'!A120</f>
        <v>2020</v>
      </c>
      <c r="B90" s="824">
        <f>'Input data'!B120</f>
        <v>59.308999999999997</v>
      </c>
      <c r="C90" s="824">
        <f>'Recycling - Case 3'!AK100/B90</f>
        <v>397.49196700004836</v>
      </c>
      <c r="D90" s="825">
        <f>'Recycling - Case 3'!AM100</f>
        <v>0.3828942024332358</v>
      </c>
      <c r="E90" s="826">
        <f>'Recycling - Case 3'!BE100</f>
        <v>0.22354503169010279</v>
      </c>
      <c r="F90" s="826">
        <f>'Recycling - Case 3'!BF100</f>
        <v>0.28351557729903498</v>
      </c>
      <c r="G90" s="826">
        <f>'Recycling - Case 3'!BG100</f>
        <v>6.1771785882978082E-2</v>
      </c>
      <c r="H90" s="826">
        <f>'Recycling - Case 3'!BH100</f>
        <v>0</v>
      </c>
      <c r="I90" s="826">
        <f>'Recycling - Case 3'!BI100</f>
        <v>0</v>
      </c>
      <c r="J90" s="826">
        <f>'Recycling - Case 3'!BJ100</f>
        <v>0</v>
      </c>
      <c r="K90" s="826">
        <f>'Recycling - Case 3'!BK100</f>
        <v>0.43116760512788427</v>
      </c>
      <c r="L90" s="827">
        <f t="shared" si="89"/>
        <v>1</v>
      </c>
      <c r="M90" s="4"/>
      <c r="N90" s="838">
        <f t="shared" si="56"/>
        <v>9026.6737982385275</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0.11494358456651364</v>
      </c>
      <c r="Q90" s="832">
        <f t="shared" si="57"/>
        <v>411.03268860562616</v>
      </c>
      <c r="R90" s="832">
        <f t="shared" si="58"/>
        <v>411.03268860562616</v>
      </c>
      <c r="S90" s="835">
        <f t="shared" si="59"/>
        <v>0</v>
      </c>
      <c r="T90" s="832">
        <f t="shared" si="60"/>
        <v>13423.403588762472</v>
      </c>
      <c r="U90" s="832">
        <f t="shared" si="61"/>
        <v>667.15852250251226</v>
      </c>
      <c r="V90" s="839">
        <f t="shared" si="62"/>
        <v>444.77234833500819</v>
      </c>
      <c r="X90" s="852">
        <f>'Recycling - Case 3'!AM140</f>
        <v>810.45915430168679</v>
      </c>
      <c r="Y90" s="853">
        <f>Parameters!S260</f>
        <v>0.71500000000000008</v>
      </c>
      <c r="Z90" s="853">
        <f t="shared" si="63"/>
        <v>0.4</v>
      </c>
      <c r="AA90" s="854">
        <f t="shared" si="64"/>
        <v>115.89565906514125</v>
      </c>
      <c r="AB90" s="854">
        <f t="shared" si="65"/>
        <v>115.89565906514125</v>
      </c>
      <c r="AC90" s="855">
        <f t="shared" si="66"/>
        <v>0</v>
      </c>
      <c r="AD90" s="854">
        <f t="shared" si="67"/>
        <v>9827.6278838010276</v>
      </c>
      <c r="AE90" s="854">
        <f t="shared" si="68"/>
        <v>497.93115887257193</v>
      </c>
      <c r="AF90" s="856">
        <f t="shared" si="69"/>
        <v>331.95410591504793</v>
      </c>
      <c r="AH90" s="852">
        <f>'Recycling - Case 3'!AM180</f>
        <v>810.45915430168679</v>
      </c>
      <c r="AI90" s="853">
        <f>Parameters!S260</f>
        <v>0.71500000000000008</v>
      </c>
      <c r="AJ90" s="853">
        <f t="shared" si="70"/>
        <v>0.4</v>
      </c>
      <c r="AK90" s="854">
        <f t="shared" si="71"/>
        <v>115.89565906514125</v>
      </c>
      <c r="AL90" s="854">
        <f t="shared" si="72"/>
        <v>115.89565906514125</v>
      </c>
      <c r="AM90" s="855">
        <f t="shared" si="73"/>
        <v>0</v>
      </c>
      <c r="AN90" s="854">
        <f t="shared" si="74"/>
        <v>9827.6278838010276</v>
      </c>
      <c r="AO90" s="854">
        <f t="shared" si="75"/>
        <v>497.93115887257193</v>
      </c>
      <c r="AP90" s="856">
        <f t="shared" si="76"/>
        <v>331.95410591504793</v>
      </c>
      <c r="AR90" s="850">
        <f>'Recycling - Case 3'!G100</f>
        <v>559.38374453121867</v>
      </c>
      <c r="AS90" s="846">
        <v>1</v>
      </c>
      <c r="AT90" s="846">
        <f t="shared" si="77"/>
        <v>0.05</v>
      </c>
      <c r="AU90" s="832">
        <f t="shared" si="78"/>
        <v>13.984593613280467</v>
      </c>
      <c r="AV90" s="832">
        <f t="shared" si="79"/>
        <v>13.984593613280467</v>
      </c>
      <c r="AW90" s="835">
        <f t="shared" si="80"/>
        <v>0</v>
      </c>
      <c r="AX90" s="832">
        <f t="shared" si="44"/>
        <v>156.85334677723881</v>
      </c>
      <c r="AY90" s="832">
        <f t="shared" si="49"/>
        <v>8.8345103049006042</v>
      </c>
      <c r="AZ90" s="930">
        <f t="shared" si="47"/>
        <v>5.8896735366004025</v>
      </c>
      <c r="BA90" s="4"/>
      <c r="BB90" s="1055">
        <f t="shared" si="81"/>
        <v>444.77234833500819</v>
      </c>
      <c r="BC90" s="1056">
        <f t="shared" si="82"/>
        <v>331.95410591504793</v>
      </c>
      <c r="BD90" s="1082">
        <f t="shared" si="90"/>
        <v>5.8896735366004025</v>
      </c>
      <c r="BE90" s="1056">
        <f t="shared" si="54"/>
        <v>782.61612778665653</v>
      </c>
      <c r="BF90" s="167">
        <v>0</v>
      </c>
      <c r="BG90" s="1075">
        <f t="shared" si="83"/>
        <v>782.61612778665653</v>
      </c>
      <c r="BI90" s="1055">
        <f t="shared" si="84"/>
        <v>444.77234833500819</v>
      </c>
      <c r="BJ90" s="1056">
        <f t="shared" si="85"/>
        <v>331.95410591504793</v>
      </c>
      <c r="BK90" s="1082">
        <f t="shared" si="86"/>
        <v>5.8896735366004025</v>
      </c>
      <c r="BL90" s="1056">
        <f t="shared" si="55"/>
        <v>782.61612778665653</v>
      </c>
      <c r="BM90" s="167">
        <v>0</v>
      </c>
      <c r="BN90" s="1075">
        <f t="shared" si="87"/>
        <v>782.61612778665653</v>
      </c>
    </row>
    <row r="91" spans="1:73">
      <c r="A91" s="927">
        <f>'Input data'!A121</f>
        <v>2021</v>
      </c>
      <c r="B91" s="824">
        <f>'Input data'!B121</f>
        <v>59.991999999999997</v>
      </c>
      <c r="C91" s="824">
        <f>'Recycling - Case 3'!AK101/B91</f>
        <v>382.99403570403217</v>
      </c>
      <c r="D91" s="825">
        <f>'Recycling - Case 3'!AM101</f>
        <v>0.31526135276355705</v>
      </c>
      <c r="E91" s="826">
        <f>'Recycling - Case 3'!BE101</f>
        <v>0.19716647414885305</v>
      </c>
      <c r="F91" s="826">
        <f>'Recycling - Case 3'!BF101</f>
        <v>0.25006042997108674</v>
      </c>
      <c r="G91" s="826">
        <f>'Recycling - Case 3'!BG101</f>
        <v>6.8431570681879175E-2</v>
      </c>
      <c r="H91" s="826">
        <f>'Recycling - Case 3'!BH101</f>
        <v>0</v>
      </c>
      <c r="I91" s="826">
        <f>'Recycling - Case 3'!BI101</f>
        <v>0</v>
      </c>
      <c r="J91" s="826">
        <f>'Recycling - Case 3'!BJ101</f>
        <v>0</v>
      </c>
      <c r="K91" s="826">
        <f>'Recycling - Case 3'!BK101</f>
        <v>0.48434152519818108</v>
      </c>
      <c r="L91" s="827">
        <f t="shared" si="89"/>
        <v>1</v>
      </c>
      <c r="M91" s="4"/>
      <c r="N91" s="838">
        <f t="shared" si="56"/>
        <v>7243.6271220432636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0.10695968538929698</v>
      </c>
      <c r="Q91" s="832">
        <f t="shared" si="57"/>
        <v>314.97627480770785</v>
      </c>
      <c r="R91" s="832">
        <f t="shared" si="58"/>
        <v>314.97627480770785</v>
      </c>
      <c r="S91" s="835">
        <f t="shared" si="59"/>
        <v>0</v>
      </c>
      <c r="T91" s="832">
        <f t="shared" si="60"/>
        <v>13083.712745387054</v>
      </c>
      <c r="U91" s="832">
        <f t="shared" si="61"/>
        <v>654.6671181831266</v>
      </c>
      <c r="V91" s="839">
        <f t="shared" si="62"/>
        <v>436.44474545541772</v>
      </c>
      <c r="W91" s="4"/>
      <c r="X91" s="852">
        <f>'Recycling - Case 3'!AM141</f>
        <v>210.7598914844657</v>
      </c>
      <c r="Y91" s="853">
        <f>Parameters!S261</f>
        <v>0.71500000000000008</v>
      </c>
      <c r="Z91" s="853">
        <f t="shared" si="63"/>
        <v>0.4</v>
      </c>
      <c r="AA91" s="854">
        <f t="shared" si="64"/>
        <v>30.1386644822786</v>
      </c>
      <c r="AB91" s="854">
        <f t="shared" si="65"/>
        <v>30.1386644822786</v>
      </c>
      <c r="AC91" s="855">
        <f t="shared" si="66"/>
        <v>0</v>
      </c>
      <c r="AD91" s="854">
        <f t="shared" si="67"/>
        <v>9378.4674805974992</v>
      </c>
      <c r="AE91" s="854">
        <f t="shared" si="68"/>
        <v>479.29906768580616</v>
      </c>
      <c r="AF91" s="856">
        <f t="shared" si="69"/>
        <v>319.53271179053746</v>
      </c>
      <c r="AG91" s="4"/>
      <c r="AH91" s="852">
        <f>'Recycling - Case 3'!AM181</f>
        <v>210.7598914844657</v>
      </c>
      <c r="AI91" s="853">
        <f>Parameters!S261</f>
        <v>0.71500000000000008</v>
      </c>
      <c r="AJ91" s="853">
        <f t="shared" si="70"/>
        <v>0.4</v>
      </c>
      <c r="AK91" s="854">
        <f t="shared" si="71"/>
        <v>30.1386644822786</v>
      </c>
      <c r="AL91" s="854">
        <f t="shared" si="72"/>
        <v>30.1386644822786</v>
      </c>
      <c r="AM91" s="855">
        <f t="shared" si="73"/>
        <v>0</v>
      </c>
      <c r="AN91" s="854">
        <f t="shared" si="74"/>
        <v>9378.4674805974992</v>
      </c>
      <c r="AO91" s="854">
        <f t="shared" si="75"/>
        <v>479.29906768580616</v>
      </c>
      <c r="AP91" s="856">
        <f t="shared" si="76"/>
        <v>319.53271179053746</v>
      </c>
      <c r="AR91" s="850">
        <f>'Recycling - Case 3'!G101</f>
        <v>577.18164484407419</v>
      </c>
      <c r="AS91" s="846">
        <v>1</v>
      </c>
      <c r="AT91" s="846">
        <f t="shared" si="77"/>
        <v>0.05</v>
      </c>
      <c r="AU91" s="832">
        <f t="shared" si="78"/>
        <v>14.429541121101856</v>
      </c>
      <c r="AV91" s="832">
        <f t="shared" si="79"/>
        <v>14.429541121101856</v>
      </c>
      <c r="AW91" s="835">
        <f t="shared" si="80"/>
        <v>0</v>
      </c>
      <c r="AX91" s="832">
        <f t="shared" si="44"/>
        <v>162.14846008989659</v>
      </c>
      <c r="AY91" s="832">
        <f t="shared" si="49"/>
        <v>9.1344278084440802</v>
      </c>
      <c r="AZ91" s="930">
        <f t="shared" si="47"/>
        <v>6.0896185389627204</v>
      </c>
      <c r="BA91" s="4"/>
      <c r="BB91" s="1055">
        <f t="shared" si="81"/>
        <v>436.44474545541772</v>
      </c>
      <c r="BC91" s="1056">
        <f t="shared" si="82"/>
        <v>319.53271179053746</v>
      </c>
      <c r="BD91" s="1082">
        <f t="shared" si="90"/>
        <v>6.0896185389627204</v>
      </c>
      <c r="BE91" s="1056">
        <f t="shared" si="54"/>
        <v>762.06707578491785</v>
      </c>
      <c r="BF91" s="167">
        <v>0</v>
      </c>
      <c r="BG91" s="1075">
        <f t="shared" si="83"/>
        <v>762.06707578491785</v>
      </c>
      <c r="BI91" s="1055">
        <f t="shared" si="84"/>
        <v>436.44474545541772</v>
      </c>
      <c r="BJ91" s="1056">
        <f t="shared" si="85"/>
        <v>319.53271179053746</v>
      </c>
      <c r="BK91" s="1082">
        <f t="shared" si="86"/>
        <v>6.0896185389627204</v>
      </c>
      <c r="BL91" s="1056">
        <f t="shared" si="55"/>
        <v>762.06707578491785</v>
      </c>
      <c r="BM91" s="167">
        <v>0</v>
      </c>
      <c r="BN91" s="1075">
        <f t="shared" si="87"/>
        <v>762.06707578491785</v>
      </c>
    </row>
    <row r="92" spans="1:73">
      <c r="A92" s="927">
        <f>'Input data'!A122</f>
        <v>2022</v>
      </c>
      <c r="B92" s="824">
        <f>'Input data'!B122</f>
        <v>60.682000000000002</v>
      </c>
      <c r="C92" s="824">
        <f>'Recycling - Case 3'!AK102/B92</f>
        <v>357.38243465011556</v>
      </c>
      <c r="D92" s="825">
        <f>'Recycling - Case 3'!AM102</f>
        <v>0.25693285611328925</v>
      </c>
      <c r="E92" s="826">
        <f>'Recycling - Case 3'!BE102</f>
        <v>0.18290190235754558</v>
      </c>
      <c r="F92" s="826">
        <f>'Recycling - Case 3'!BF102</f>
        <v>0.23196909385075409</v>
      </c>
      <c r="G92" s="826">
        <f>'Recycling - Case 3'!BG102</f>
        <v>7.151067371253228E-2</v>
      </c>
      <c r="H92" s="826">
        <f>'Recycling - Case 3'!BH102</f>
        <v>0</v>
      </c>
      <c r="I92" s="826">
        <f>'Recycling - Case 3'!BI102</f>
        <v>0</v>
      </c>
      <c r="J92" s="826">
        <f>'Recycling - Case 3'!BJ102</f>
        <v>0</v>
      </c>
      <c r="K92" s="826">
        <f>'Recycling - Case 3'!BK102</f>
        <v>0.51361833007916824</v>
      </c>
      <c r="L92" s="827">
        <f t="shared" si="89"/>
        <v>1.0000000000000002</v>
      </c>
      <c r="M92" s="4"/>
      <c r="N92" s="838">
        <f t="shared" si="56"/>
        <v>5572.0208631102023</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0.10243337360879556</v>
      </c>
      <c r="Q92" s="832">
        <f t="shared" si="57"/>
        <v>237.96338845862937</v>
      </c>
      <c r="R92" s="832">
        <f t="shared" si="58"/>
        <v>237.96338845862937</v>
      </c>
      <c r="S92" s="835">
        <f t="shared" si="59"/>
        <v>0</v>
      </c>
      <c r="T92" s="832">
        <f t="shared" si="60"/>
        <v>12683.575933585815</v>
      </c>
      <c r="U92" s="832">
        <f t="shared" si="61"/>
        <v>638.10020025986967</v>
      </c>
      <c r="V92" s="839">
        <f t="shared" si="62"/>
        <v>425.40013350657978</v>
      </c>
      <c r="W92" s="4"/>
      <c r="X92" s="852">
        <f>'Recycling - Case 3'!AM142</f>
        <v>0</v>
      </c>
      <c r="Y92" s="853">
        <f>Parameters!S262</f>
        <v>0.71500000000000008</v>
      </c>
      <c r="Z92" s="853">
        <f t="shared" si="63"/>
        <v>0.4</v>
      </c>
      <c r="AA92" s="854">
        <f t="shared" si="64"/>
        <v>0</v>
      </c>
      <c r="AB92" s="854">
        <f t="shared" si="65"/>
        <v>0</v>
      </c>
      <c r="AC92" s="855">
        <f t="shared" si="66"/>
        <v>0</v>
      </c>
      <c r="AD92" s="854">
        <f t="shared" si="67"/>
        <v>8921.0742242674205</v>
      </c>
      <c r="AE92" s="854">
        <f t="shared" si="68"/>
        <v>457.39325633007877</v>
      </c>
      <c r="AF92" s="856">
        <f t="shared" si="69"/>
        <v>304.92883755338585</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8921.0742242674205</v>
      </c>
      <c r="AO92" s="854">
        <f t="shared" si="75"/>
        <v>457.39325633007877</v>
      </c>
      <c r="AP92" s="856">
        <f t="shared" si="76"/>
        <v>304.92883755338585</v>
      </c>
      <c r="AR92" s="850">
        <f>'Recycling - Case 3'!G102</f>
        <v>595.30679115833243</v>
      </c>
      <c r="AS92" s="846">
        <v>1</v>
      </c>
      <c r="AT92" s="846">
        <f t="shared" si="77"/>
        <v>0.05</v>
      </c>
      <c r="AU92" s="832">
        <f t="shared" si="78"/>
        <v>14.882669778958311</v>
      </c>
      <c r="AV92" s="832">
        <f t="shared" si="79"/>
        <v>14.882669778958311</v>
      </c>
      <c r="AW92" s="835">
        <f t="shared" si="80"/>
        <v>0</v>
      </c>
      <c r="AX92" s="832">
        <f t="shared" si="44"/>
        <v>167.58833866692393</v>
      </c>
      <c r="AY92" s="832">
        <f t="shared" si="49"/>
        <v>9.4427912019309588</v>
      </c>
      <c r="AZ92" s="930">
        <f t="shared" si="47"/>
        <v>6.2951941346206395</v>
      </c>
      <c r="BA92" s="4"/>
      <c r="BB92" s="1055">
        <f t="shared" si="81"/>
        <v>425.40013350657978</v>
      </c>
      <c r="BC92" s="1056">
        <f t="shared" si="82"/>
        <v>304.92883755338585</v>
      </c>
      <c r="BD92" s="1082">
        <f t="shared" si="90"/>
        <v>6.2951941346206395</v>
      </c>
      <c r="BE92" s="1056">
        <f t="shared" si="54"/>
        <v>736.62416519458623</v>
      </c>
      <c r="BF92" s="167">
        <v>0</v>
      </c>
      <c r="BG92" s="1075">
        <f t="shared" si="83"/>
        <v>736.62416519458623</v>
      </c>
      <c r="BI92" s="1055">
        <f t="shared" si="84"/>
        <v>425.40013350657978</v>
      </c>
      <c r="BJ92" s="1056">
        <f t="shared" si="85"/>
        <v>304.92883755338585</v>
      </c>
      <c r="BK92" s="1082">
        <f t="shared" si="86"/>
        <v>6.2951941346206395</v>
      </c>
      <c r="BL92" s="1056">
        <f t="shared" si="55"/>
        <v>736.62416519458623</v>
      </c>
      <c r="BM92" s="167">
        <v>0</v>
      </c>
      <c r="BN92" s="1075">
        <f t="shared" si="87"/>
        <v>736.62416519458623</v>
      </c>
    </row>
    <row r="93" spans="1:73">
      <c r="A93" s="927">
        <f>'Input data'!A123</f>
        <v>2023</v>
      </c>
      <c r="B93" s="824">
        <f>'Input data'!B123</f>
        <v>61.381</v>
      </c>
      <c r="C93" s="824">
        <f>'Recycling - Case 3'!AK103/B93</f>
        <v>349.33280087815695</v>
      </c>
      <c r="D93" s="825">
        <f>'Recycling - Case 3'!AM103</f>
        <v>0.24426838550960567</v>
      </c>
      <c r="E93" s="826">
        <f>'Recycling - Case 3'!BE103</f>
        <v>0.18636085755822557</v>
      </c>
      <c r="F93" s="826">
        <f>'Recycling - Case 3'!BF103</f>
        <v>0.23635598481924494</v>
      </c>
      <c r="G93" s="826">
        <f>'Recycling - Case 3'!BG103</f>
        <v>6.9596441529594766E-2</v>
      </c>
      <c r="H93" s="826">
        <f>'Recycling - Case 3'!BH103</f>
        <v>0</v>
      </c>
      <c r="I93" s="826">
        <f>'Recycling - Case 3'!BI103</f>
        <v>0</v>
      </c>
      <c r="J93" s="826">
        <f>'Recycling - Case 3'!BJ103</f>
        <v>0</v>
      </c>
      <c r="K93" s="826">
        <f>'Recycling - Case 3'!BK103</f>
        <v>0.5076867160929347</v>
      </c>
      <c r="L93" s="827">
        <f t="shared" si="89"/>
        <v>1</v>
      </c>
      <c r="M93" s="4"/>
      <c r="N93" s="838">
        <f t="shared" si="56"/>
        <v>5237.69961132359</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0.10306390220942073</v>
      </c>
      <c r="Q93" s="832">
        <f t="shared" si="57"/>
        <v>230.66828152466709</v>
      </c>
      <c r="R93" s="832">
        <f t="shared" si="58"/>
        <v>230.66828152466709</v>
      </c>
      <c r="S93" s="835">
        <f t="shared" si="59"/>
        <v>0</v>
      </c>
      <c r="T93" s="832">
        <f t="shared" si="60"/>
        <v>12295.658917440609</v>
      </c>
      <c r="U93" s="832">
        <f t="shared" si="61"/>
        <v>618.58529766987374</v>
      </c>
      <c r="V93" s="839">
        <f t="shared" si="62"/>
        <v>412.39019844658247</v>
      </c>
      <c r="W93" s="4"/>
      <c r="X93" s="852">
        <f>'Recycling - Case 3'!AM143</f>
        <v>0</v>
      </c>
      <c r="Y93" s="853">
        <f>Parameters!S263</f>
        <v>0.71500000000000008</v>
      </c>
      <c r="Z93" s="853">
        <f t="shared" si="63"/>
        <v>0.4</v>
      </c>
      <c r="AA93" s="854">
        <f t="shared" si="64"/>
        <v>0</v>
      </c>
      <c r="AB93" s="854">
        <f t="shared" si="65"/>
        <v>0</v>
      </c>
      <c r="AC93" s="855">
        <f t="shared" si="66"/>
        <v>0</v>
      </c>
      <c r="AD93" s="854">
        <f t="shared" si="67"/>
        <v>8485.9883002780516</v>
      </c>
      <c r="AE93" s="854">
        <f t="shared" si="68"/>
        <v>435.08592398936838</v>
      </c>
      <c r="AF93" s="856">
        <f t="shared" si="69"/>
        <v>290.0572826595789</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8485.9883002780516</v>
      </c>
      <c r="AO93" s="854">
        <f t="shared" si="75"/>
        <v>435.08592398936838</v>
      </c>
      <c r="AP93" s="856">
        <f t="shared" si="76"/>
        <v>290.0572826595789</v>
      </c>
      <c r="AQ93" s="4"/>
      <c r="AR93" s="850">
        <f>'Recycling - Case 3'!G103</f>
        <v>613.78315775045917</v>
      </c>
      <c r="AS93" s="846">
        <v>1</v>
      </c>
      <c r="AT93" s="846">
        <f t="shared" si="77"/>
        <v>0.05</v>
      </c>
      <c r="AU93" s="832">
        <f t="shared" si="78"/>
        <v>15.34457894376148</v>
      </c>
      <c r="AV93" s="832">
        <f t="shared" si="79"/>
        <v>15.34457894376148</v>
      </c>
      <c r="AW93" s="835">
        <f t="shared" si="80"/>
        <v>0</v>
      </c>
      <c r="AX93" s="832">
        <f t="shared" si="44"/>
        <v>173.17333254257622</v>
      </c>
      <c r="AY93" s="832">
        <f t="shared" si="49"/>
        <v>9.7595850681091996</v>
      </c>
      <c r="AZ93" s="930">
        <f t="shared" si="47"/>
        <v>6.5063900454061327</v>
      </c>
      <c r="BA93" s="4"/>
      <c r="BB93" s="1055">
        <f t="shared" si="81"/>
        <v>412.39019844658247</v>
      </c>
      <c r="BC93" s="1056">
        <f t="shared" si="82"/>
        <v>290.0572826595789</v>
      </c>
      <c r="BD93" s="1082">
        <f t="shared" si="90"/>
        <v>6.5063900454061327</v>
      </c>
      <c r="BE93" s="1056">
        <f t="shared" si="54"/>
        <v>708.95387115156745</v>
      </c>
      <c r="BF93" s="167">
        <v>0</v>
      </c>
      <c r="BG93" s="1075">
        <f t="shared" si="83"/>
        <v>708.95387115156745</v>
      </c>
      <c r="BI93" s="1055">
        <f t="shared" si="84"/>
        <v>412.39019844658247</v>
      </c>
      <c r="BJ93" s="1056">
        <f t="shared" si="85"/>
        <v>290.0572826595789</v>
      </c>
      <c r="BK93" s="1082">
        <f t="shared" si="86"/>
        <v>6.5063900454061327</v>
      </c>
      <c r="BL93" s="1056">
        <f t="shared" si="55"/>
        <v>708.95387115156745</v>
      </c>
      <c r="BM93" s="167">
        <v>0</v>
      </c>
      <c r="BN93" s="1075">
        <f t="shared" si="87"/>
        <v>708.95387115156745</v>
      </c>
    </row>
    <row r="94" spans="1:73">
      <c r="A94" s="927">
        <f>'Input data'!A124</f>
        <v>2024</v>
      </c>
      <c r="B94" s="824">
        <f>'Input data'!B124</f>
        <v>62.088000000000001</v>
      </c>
      <c r="C94" s="824">
        <f>'Recycling - Case 3'!AK104/B94</f>
        <v>341.44772756277496</v>
      </c>
      <c r="D94" s="825">
        <f>'Recycling - Case 3'!AM104</f>
        <v>0.23129354305542368</v>
      </c>
      <c r="E94" s="826">
        <f>'Recycling - Case 3'!BE104</f>
        <v>0.18986985259566763</v>
      </c>
      <c r="F94" s="826">
        <f>'Recycling - Case 3'!BF104</f>
        <v>0.24080633983835789</v>
      </c>
      <c r="G94" s="826">
        <f>'Recycling - Case 3'!BG104</f>
        <v>6.7651093579738281E-2</v>
      </c>
      <c r="H94" s="826">
        <f>'Recycling - Case 3'!BH104</f>
        <v>0</v>
      </c>
      <c r="I94" s="826">
        <f>'Recycling - Case 3'!BI104</f>
        <v>0</v>
      </c>
      <c r="J94" s="826">
        <f>'Recycling - Case 3'!BJ104</f>
        <v>0</v>
      </c>
      <c r="K94" s="826">
        <f>'Recycling - Case 3'!BK104</f>
        <v>0.50167271398623592</v>
      </c>
      <c r="L94" s="827">
        <f t="shared" si="89"/>
        <v>0.99999999999999978</v>
      </c>
      <c r="M94" s="4"/>
      <c r="N94" s="838">
        <f t="shared" si="56"/>
        <v>4903.3783595369778</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0.10370218328891705</v>
      </c>
      <c r="Q94" s="832">
        <f t="shared" si="57"/>
        <v>222.56261734055673</v>
      </c>
      <c r="R94" s="832">
        <f t="shared" si="58"/>
        <v>222.56261734055673</v>
      </c>
      <c r="S94" s="835">
        <f t="shared" si="59"/>
        <v>0</v>
      </c>
      <c r="T94" s="832">
        <f t="shared" si="60"/>
        <v>11918.555173234659</v>
      </c>
      <c r="U94" s="832">
        <f t="shared" si="61"/>
        <v>599.66636154650621</v>
      </c>
      <c r="V94" s="839">
        <f t="shared" si="62"/>
        <v>399.77757436433745</v>
      </c>
      <c r="W94" s="4"/>
      <c r="X94" s="852">
        <f>'Recycling - Case 3'!AM144</f>
        <v>0</v>
      </c>
      <c r="Y94" s="853">
        <f>Parameters!S264</f>
        <v>0.71500000000000008</v>
      </c>
      <c r="Z94" s="853">
        <f t="shared" si="63"/>
        <v>0.4</v>
      </c>
      <c r="AA94" s="854">
        <f t="shared" si="64"/>
        <v>0</v>
      </c>
      <c r="AB94" s="854">
        <f t="shared" si="65"/>
        <v>0</v>
      </c>
      <c r="AC94" s="855">
        <f t="shared" si="66"/>
        <v>0</v>
      </c>
      <c r="AD94" s="854">
        <f t="shared" si="67"/>
        <v>8072.1217671932836</v>
      </c>
      <c r="AE94" s="854">
        <f t="shared" si="68"/>
        <v>413.86653308476826</v>
      </c>
      <c r="AF94" s="856">
        <f t="shared" si="69"/>
        <v>275.91102205651219</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8072.1217671932836</v>
      </c>
      <c r="AO94" s="854">
        <f t="shared" si="75"/>
        <v>413.86653308476826</v>
      </c>
      <c r="AP94" s="856">
        <f t="shared" si="76"/>
        <v>275.91102205651219</v>
      </c>
      <c r="AQ94" s="4"/>
      <c r="AR94" s="850">
        <f>'Recycling - Case 3'!G104</f>
        <v>632.60566667337889</v>
      </c>
      <c r="AS94" s="846">
        <v>1</v>
      </c>
      <c r="AT94" s="846">
        <f t="shared" si="77"/>
        <v>0.05</v>
      </c>
      <c r="AU94" s="832">
        <f t="shared" si="78"/>
        <v>15.815141666834473</v>
      </c>
      <c r="AV94" s="832">
        <f t="shared" si="79"/>
        <v>15.815141666834473</v>
      </c>
      <c r="AW94" s="835">
        <f t="shared" si="80"/>
        <v>0</v>
      </c>
      <c r="AX94" s="832">
        <f t="shared" si="44"/>
        <v>178.90364441802376</v>
      </c>
      <c r="AY94" s="832">
        <f t="shared" si="49"/>
        <v>10.084829791386925</v>
      </c>
      <c r="AZ94" s="930">
        <f t="shared" si="47"/>
        <v>6.7232198609246163</v>
      </c>
      <c r="BA94" s="4"/>
      <c r="BB94" s="1055">
        <f t="shared" si="81"/>
        <v>399.77757436433745</v>
      </c>
      <c r="BC94" s="1056">
        <f t="shared" si="82"/>
        <v>275.91102205651219</v>
      </c>
      <c r="BD94" s="1082">
        <f t="shared" si="90"/>
        <v>6.7232198609246163</v>
      </c>
      <c r="BE94" s="1056">
        <f t="shared" si="54"/>
        <v>682.41181628177424</v>
      </c>
      <c r="BF94" s="167">
        <v>0</v>
      </c>
      <c r="BG94" s="1075">
        <f t="shared" si="83"/>
        <v>682.41181628177424</v>
      </c>
      <c r="BI94" s="1055">
        <f t="shared" si="84"/>
        <v>399.77757436433745</v>
      </c>
      <c r="BJ94" s="1056">
        <f t="shared" si="85"/>
        <v>275.91102205651219</v>
      </c>
      <c r="BK94" s="1082">
        <f t="shared" si="86"/>
        <v>6.7232198609246163</v>
      </c>
      <c r="BL94" s="1056">
        <f t="shared" si="55"/>
        <v>682.41181628177424</v>
      </c>
      <c r="BM94" s="167">
        <v>0</v>
      </c>
      <c r="BN94" s="1075">
        <f t="shared" si="87"/>
        <v>682.41181628177424</v>
      </c>
    </row>
    <row r="95" spans="1:73">
      <c r="A95" s="927">
        <f>'Input data'!A125</f>
        <v>2025</v>
      </c>
      <c r="B95" s="824">
        <f>'Input data'!B125</f>
        <v>62.802999999999997</v>
      </c>
      <c r="C95" s="824">
        <f>'Recycling - Case 3'!AK105/B95</f>
        <v>333.72430107724745</v>
      </c>
      <c r="D95" s="825">
        <f>'Recycling - Case 3'!AM105</f>
        <v>0.21800093900927323</v>
      </c>
      <c r="E95" s="826">
        <f>'Recycling - Case 3'!BE105</f>
        <v>0.1934307747438028</v>
      </c>
      <c r="F95" s="826">
        <f>'Recycling - Case 3'!BF105</f>
        <v>0.24532255248201454</v>
      </c>
      <c r="G95" s="826">
        <f>'Recycling - Case 3'!BG105</f>
        <v>6.5673494183742145E-2</v>
      </c>
      <c r="H95" s="826">
        <f>'Recycling - Case 3'!BH105</f>
        <v>0</v>
      </c>
      <c r="I95" s="826">
        <f>'Recycling - Case 3'!BI105</f>
        <v>0</v>
      </c>
      <c r="J95" s="826">
        <f>'Recycling - Case 3'!BJ105</f>
        <v>0</v>
      </c>
      <c r="K95" s="826">
        <f>'Recycling - Case 3'!BK105</f>
        <v>0.49557317859044042</v>
      </c>
      <c r="L95" s="827">
        <f t="shared" si="89"/>
        <v>1</v>
      </c>
      <c r="M95" s="4"/>
      <c r="N95" s="838">
        <f t="shared" si="56"/>
        <v>4569.0571077503655</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0.10434852438147019</v>
      </c>
      <c r="Q95" s="832">
        <f t="shared" si="57"/>
        <v>213.63159137107982</v>
      </c>
      <c r="R95" s="832">
        <f t="shared" si="58"/>
        <v>213.63159137107982</v>
      </c>
      <c r="S95" s="835">
        <f t="shared" si="59"/>
        <v>0</v>
      </c>
      <c r="T95" s="832">
        <f t="shared" si="60"/>
        <v>11550.911969687093</v>
      </c>
      <c r="U95" s="832">
        <f t="shared" si="61"/>
        <v>581.27479491864653</v>
      </c>
      <c r="V95" s="839">
        <f t="shared" si="62"/>
        <v>387.51652994576438</v>
      </c>
      <c r="W95" s="4"/>
      <c r="X95" s="852">
        <f>'Recycling - Case 3'!AM145</f>
        <v>0</v>
      </c>
      <c r="Y95" s="853">
        <f>Parameters!S265</f>
        <v>0.71500000000000008</v>
      </c>
      <c r="Z95" s="853">
        <f t="shared" si="63"/>
        <v>0.4</v>
      </c>
      <c r="AA95" s="854">
        <f t="shared" si="64"/>
        <v>0</v>
      </c>
      <c r="AB95" s="854">
        <f t="shared" si="65"/>
        <v>0</v>
      </c>
      <c r="AC95" s="855">
        <f t="shared" si="66"/>
        <v>0</v>
      </c>
      <c r="AD95" s="854">
        <f t="shared" si="67"/>
        <v>7678.4397431069538</v>
      </c>
      <c r="AE95" s="854">
        <f t="shared" si="68"/>
        <v>393.68202408632982</v>
      </c>
      <c r="AF95" s="856">
        <f t="shared" si="69"/>
        <v>262.45468272421988</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7678.4397431069538</v>
      </c>
      <c r="AO95" s="854">
        <f t="shared" si="75"/>
        <v>393.68202408632982</v>
      </c>
      <c r="AP95" s="856">
        <f t="shared" si="76"/>
        <v>262.45468272421988</v>
      </c>
      <c r="AQ95" s="4"/>
      <c r="AR95" s="850">
        <f>'Recycling - Case 3'!G105</f>
        <v>651.7788609568936</v>
      </c>
      <c r="AS95" s="846">
        <v>1</v>
      </c>
      <c r="AT95" s="846">
        <f t="shared" si="77"/>
        <v>0.05</v>
      </c>
      <c r="AU95" s="832">
        <f t="shared" si="78"/>
        <v>16.29447152392234</v>
      </c>
      <c r="AV95" s="832">
        <f t="shared" si="79"/>
        <v>16.29447152392234</v>
      </c>
      <c r="AW95" s="835">
        <f t="shared" si="80"/>
        <v>0</v>
      </c>
      <c r="AX95" s="832">
        <f t="shared" si="44"/>
        <v>184.77957876578478</v>
      </c>
      <c r="AY95" s="832">
        <f t="shared" si="49"/>
        <v>10.418537176161331</v>
      </c>
      <c r="AZ95" s="930">
        <f t="shared" si="47"/>
        <v>6.9456914507742207</v>
      </c>
      <c r="BA95" s="4"/>
      <c r="BB95" s="1055">
        <f t="shared" si="81"/>
        <v>387.51652994576438</v>
      </c>
      <c r="BC95" s="1056">
        <f t="shared" si="82"/>
        <v>262.45468272421988</v>
      </c>
      <c r="BD95" s="1082">
        <f t="shared" si="90"/>
        <v>6.9456914507742207</v>
      </c>
      <c r="BE95" s="1056">
        <f t="shared" si="54"/>
        <v>656.91690412075843</v>
      </c>
      <c r="BF95" s="167">
        <v>0</v>
      </c>
      <c r="BG95" s="1075">
        <f t="shared" si="83"/>
        <v>656.91690412075843</v>
      </c>
      <c r="BI95" s="1055">
        <f t="shared" si="84"/>
        <v>387.51652994576438</v>
      </c>
      <c r="BJ95" s="1056">
        <f t="shared" si="85"/>
        <v>262.45468272421988</v>
      </c>
      <c r="BK95" s="1082">
        <f t="shared" si="86"/>
        <v>6.9456914507742207</v>
      </c>
      <c r="BL95" s="1056">
        <f t="shared" si="55"/>
        <v>656.91690412075843</v>
      </c>
      <c r="BM95" s="167">
        <v>0</v>
      </c>
      <c r="BN95" s="1075">
        <f t="shared" si="87"/>
        <v>656.91690412075843</v>
      </c>
    </row>
    <row r="96" spans="1:73">
      <c r="A96" s="927">
        <f>'Input data'!A126</f>
        <v>2026</v>
      </c>
      <c r="B96" s="824">
        <f>'Input data'!B126</f>
        <v>63.420999999999999</v>
      </c>
      <c r="C96" s="824">
        <f>'Recycling - Case 3'!AK106/B96</f>
        <v>326.49568794842071</v>
      </c>
      <c r="D96" s="825">
        <f>'Recycling - Case 3'!AM106</f>
        <v>0.20451058485677936</v>
      </c>
      <c r="E96" s="826">
        <f>'Recycling - Case 3'!BE106</f>
        <v>0.1969009314457523</v>
      </c>
      <c r="F96" s="826">
        <f>'Recycling - Case 3'!BF106</f>
        <v>0.24972364998453123</v>
      </c>
      <c r="G96" s="826">
        <f>'Recycling - Case 3'!BG106</f>
        <v>6.370022922705966E-2</v>
      </c>
      <c r="H96" s="826">
        <f>'Recycling - Case 3'!BH106</f>
        <v>0</v>
      </c>
      <c r="I96" s="826">
        <f>'Recycling - Case 3'!BI106</f>
        <v>0</v>
      </c>
      <c r="J96" s="826">
        <f>'Recycling - Case 3'!BJ106</f>
        <v>0</v>
      </c>
      <c r="K96" s="826">
        <f>'Recycling - Case 3'!BK106</f>
        <v>0.48967518934265669</v>
      </c>
      <c r="L96" s="827">
        <f t="shared" si="89"/>
        <v>0.99999999999999978</v>
      </c>
      <c r="M96" s="4"/>
      <c r="N96" s="838">
        <f t="shared" si="56"/>
        <v>4234.7358559637532</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0.10495996140459295</v>
      </c>
      <c r="Q96" s="832">
        <f t="shared" si="57"/>
        <v>203.77593565566028</v>
      </c>
      <c r="R96" s="832">
        <f t="shared" si="58"/>
        <v>203.77593565566028</v>
      </c>
      <c r="S96" s="835">
        <f t="shared" si="59"/>
        <v>0</v>
      </c>
      <c r="T96" s="832">
        <f t="shared" si="60"/>
        <v>11191.343281039522</v>
      </c>
      <c r="U96" s="832">
        <f t="shared" si="61"/>
        <v>563.3446243032306</v>
      </c>
      <c r="V96" s="839">
        <f t="shared" si="62"/>
        <v>375.5630828688204</v>
      </c>
      <c r="W96" s="4"/>
      <c r="X96" s="852">
        <f>'Recycling - Case 3'!AM146</f>
        <v>0</v>
      </c>
      <c r="Y96" s="853">
        <f>Parameters!S266</f>
        <v>0.71500000000000008</v>
      </c>
      <c r="Z96" s="853">
        <f t="shared" si="63"/>
        <v>0.4</v>
      </c>
      <c r="AA96" s="854">
        <f t="shared" si="64"/>
        <v>0</v>
      </c>
      <c r="AB96" s="854">
        <f t="shared" si="65"/>
        <v>0</v>
      </c>
      <c r="AC96" s="855">
        <f t="shared" si="66"/>
        <v>0</v>
      </c>
      <c r="AD96" s="854">
        <f t="shared" si="67"/>
        <v>7303.9578178990378</v>
      </c>
      <c r="AE96" s="854">
        <f t="shared" si="68"/>
        <v>374.48192520791576</v>
      </c>
      <c r="AF96" s="856">
        <f t="shared" si="69"/>
        <v>249.65461680527719</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7303.9578178990378</v>
      </c>
      <c r="AO96" s="854">
        <f t="shared" si="75"/>
        <v>374.48192520791576</v>
      </c>
      <c r="AP96" s="856">
        <f t="shared" si="76"/>
        <v>249.65461680527719</v>
      </c>
      <c r="AQ96" s="4"/>
      <c r="AR96" s="850">
        <f>'Recycling - Case 3'!G106</f>
        <v>670.19770228173195</v>
      </c>
      <c r="AS96" s="846">
        <v>1</v>
      </c>
      <c r="AT96" s="846">
        <f t="shared" si="77"/>
        <v>0.05</v>
      </c>
      <c r="AU96" s="832">
        <f t="shared" si="78"/>
        <v>16.7549425570433</v>
      </c>
      <c r="AV96" s="832">
        <f t="shared" si="79"/>
        <v>16.7549425570433</v>
      </c>
      <c r="AW96" s="835">
        <f t="shared" si="80"/>
        <v>0</v>
      </c>
      <c r="AX96" s="832">
        <f t="shared" si="44"/>
        <v>190.77379636929655</v>
      </c>
      <c r="AY96" s="832">
        <f t="shared" si="49"/>
        <v>10.760724953531527</v>
      </c>
      <c r="AZ96" s="930">
        <f t="shared" si="47"/>
        <v>7.1738166356876851</v>
      </c>
      <c r="BA96" s="4"/>
      <c r="BB96" s="1055">
        <f t="shared" si="81"/>
        <v>375.5630828688204</v>
      </c>
      <c r="BC96" s="1056">
        <f t="shared" si="82"/>
        <v>249.65461680527719</v>
      </c>
      <c r="BD96" s="1082">
        <f t="shared" si="90"/>
        <v>7.1738166356876851</v>
      </c>
      <c r="BE96" s="1056">
        <f t="shared" si="54"/>
        <v>632.39151630978529</v>
      </c>
      <c r="BF96" s="167">
        <v>0</v>
      </c>
      <c r="BG96" s="1075">
        <f t="shared" si="83"/>
        <v>632.39151630978529</v>
      </c>
      <c r="BI96" s="1055">
        <f t="shared" si="84"/>
        <v>375.5630828688204</v>
      </c>
      <c r="BJ96" s="1056">
        <f t="shared" si="85"/>
        <v>249.65461680527719</v>
      </c>
      <c r="BK96" s="1082">
        <f t="shared" si="86"/>
        <v>7.1738166356876851</v>
      </c>
      <c r="BL96" s="1056">
        <f t="shared" si="55"/>
        <v>632.39151630978529</v>
      </c>
      <c r="BM96" s="167">
        <v>0</v>
      </c>
      <c r="BN96" s="1075">
        <f t="shared" si="87"/>
        <v>632.39151630978529</v>
      </c>
    </row>
    <row r="97" spans="1:66">
      <c r="A97" s="927">
        <f>'Input data'!A127</f>
        <v>2027</v>
      </c>
      <c r="B97" s="824">
        <f>'Input data'!B127</f>
        <v>64.046000000000006</v>
      </c>
      <c r="C97" s="824">
        <f>'Recycling - Case 3'!AK107/B97</f>
        <v>319.38662961019782</v>
      </c>
      <c r="D97" s="825">
        <f>'Recycling - Case 3'!AM107</f>
        <v>0.19067863373433067</v>
      </c>
      <c r="E97" s="826">
        <f>'Recycling - Case 3'!BE107</f>
        <v>0.20043328352566561</v>
      </c>
      <c r="F97" s="826">
        <f>'Recycling - Case 3'!BF107</f>
        <v>0.25420362805243291</v>
      </c>
      <c r="G97" s="826">
        <f>'Recycling - Case 3'!BG107</f>
        <v>6.1689375497640628E-2</v>
      </c>
      <c r="H97" s="826">
        <f>'Recycling - Case 3'!BH107</f>
        <v>0</v>
      </c>
      <c r="I97" s="826">
        <f>'Recycling - Case 3'!BI107</f>
        <v>0</v>
      </c>
      <c r="J97" s="826">
        <f>'Recycling - Case 3'!BJ107</f>
        <v>0</v>
      </c>
      <c r="K97" s="826">
        <f>'Recycling - Case 3'!BK107</f>
        <v>0.4836737129242607</v>
      </c>
      <c r="L97" s="827">
        <f t="shared" si="89"/>
        <v>0.99999999999999978</v>
      </c>
      <c r="M97" s="4"/>
      <c r="N97" s="838">
        <f t="shared" si="56"/>
        <v>3900.4146041771414</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0.10558146833839267</v>
      </c>
      <c r="Q97" s="832">
        <f t="shared" si="57"/>
        <v>193.07623837105876</v>
      </c>
      <c r="R97" s="832">
        <f t="shared" si="58"/>
        <v>193.07623837105876</v>
      </c>
      <c r="S97" s="835">
        <f t="shared" si="59"/>
        <v>0</v>
      </c>
      <c r="T97" s="832">
        <f t="shared" si="60"/>
        <v>10838.611266984217</v>
      </c>
      <c r="U97" s="832">
        <f t="shared" si="61"/>
        <v>545.8082524263649</v>
      </c>
      <c r="V97" s="839">
        <f t="shared" si="62"/>
        <v>363.87216828424329</v>
      </c>
      <c r="W97" s="4"/>
      <c r="X97" s="852">
        <f>'Recycling - Case 3'!AM147</f>
        <v>0</v>
      </c>
      <c r="Y97" s="853">
        <f>Parameters!S267</f>
        <v>0.71500000000000008</v>
      </c>
      <c r="Z97" s="853">
        <f t="shared" si="63"/>
        <v>0.4</v>
      </c>
      <c r="AA97" s="854">
        <f t="shared" si="64"/>
        <v>0</v>
      </c>
      <c r="AB97" s="854">
        <f t="shared" si="65"/>
        <v>0</v>
      </c>
      <c r="AC97" s="855">
        <f t="shared" si="66"/>
        <v>0</v>
      </c>
      <c r="AD97" s="854">
        <f t="shared" si="67"/>
        <v>6947.7395916975929</v>
      </c>
      <c r="AE97" s="854">
        <f t="shared" si="68"/>
        <v>356.21822620144513</v>
      </c>
      <c r="AF97" s="856">
        <f t="shared" si="69"/>
        <v>237.47881746763008</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6947.7395916975929</v>
      </c>
      <c r="AO97" s="854">
        <f t="shared" si="75"/>
        <v>356.21822620144513</v>
      </c>
      <c r="AP97" s="856">
        <f t="shared" si="76"/>
        <v>237.47881746763008</v>
      </c>
      <c r="AQ97" s="4"/>
      <c r="AR97" s="850">
        <f>'Recycling - Case 3'!G107</f>
        <v>688.92580678167349</v>
      </c>
      <c r="AS97" s="846">
        <v>1</v>
      </c>
      <c r="AT97" s="846">
        <f t="shared" si="77"/>
        <v>0.05</v>
      </c>
      <c r="AU97" s="832">
        <f t="shared" si="78"/>
        <v>17.223145169541837</v>
      </c>
      <c r="AV97" s="832">
        <f t="shared" si="79"/>
        <v>17.223145169541837</v>
      </c>
      <c r="AW97" s="835">
        <f t="shared" si="80"/>
        <v>0</v>
      </c>
      <c r="AX97" s="832">
        <f t="shared" si="44"/>
        <v>196.88714052736884</v>
      </c>
      <c r="AY97" s="832">
        <f t="shared" si="49"/>
        <v>11.109801011469543</v>
      </c>
      <c r="AZ97" s="930">
        <f t="shared" si="47"/>
        <v>7.4065340076463615</v>
      </c>
      <c r="BA97" s="4"/>
      <c r="BB97" s="1055">
        <f t="shared" si="81"/>
        <v>363.87216828424329</v>
      </c>
      <c r="BC97" s="1056">
        <f t="shared" si="82"/>
        <v>237.47881746763008</v>
      </c>
      <c r="BD97" s="1082">
        <f t="shared" si="90"/>
        <v>7.4065340076463615</v>
      </c>
      <c r="BE97" s="1056">
        <f t="shared" si="54"/>
        <v>608.75751975951971</v>
      </c>
      <c r="BF97" s="167">
        <v>0</v>
      </c>
      <c r="BG97" s="1075">
        <f t="shared" si="83"/>
        <v>608.75751975951971</v>
      </c>
      <c r="BI97" s="1055">
        <f t="shared" si="84"/>
        <v>363.87216828424329</v>
      </c>
      <c r="BJ97" s="1056">
        <f t="shared" si="85"/>
        <v>237.47881746763008</v>
      </c>
      <c r="BK97" s="1082">
        <f t="shared" si="86"/>
        <v>7.4065340076463615</v>
      </c>
      <c r="BL97" s="1056">
        <f t="shared" si="55"/>
        <v>608.75751975951971</v>
      </c>
      <c r="BM97" s="167">
        <v>0</v>
      </c>
      <c r="BN97" s="1075">
        <f t="shared" si="87"/>
        <v>608.75751975951971</v>
      </c>
    </row>
    <row r="98" spans="1:66">
      <c r="A98" s="927">
        <f>'Input data'!A128</f>
        <v>2028</v>
      </c>
      <c r="B98" s="824">
        <f>'Input data'!B128</f>
        <v>64.676000000000002</v>
      </c>
      <c r="C98" s="824">
        <f>'Recycling - Case 3'!AK108/B98</f>
        <v>312.40106541649413</v>
      </c>
      <c r="D98" s="825">
        <f>'Recycling - Case 3'!AM108</f>
        <v>0.17649688672426553</v>
      </c>
      <c r="E98" s="826">
        <f>'Recycling - Case 3'!BE108</f>
        <v>0.20402733633371381</v>
      </c>
      <c r="F98" s="826">
        <f>'Recycling - Case 3'!BF108</f>
        <v>0.25876185933591606</v>
      </c>
      <c r="G98" s="826">
        <f>'Recycling - Case 3'!BG108</f>
        <v>5.9640291282211953E-2</v>
      </c>
      <c r="H98" s="826">
        <f>'Recycling - Case 3'!BH108</f>
        <v>0</v>
      </c>
      <c r="I98" s="826">
        <f>'Recycling - Case 3'!BI108</f>
        <v>0</v>
      </c>
      <c r="J98" s="826">
        <f>'Recycling - Case 3'!BJ108</f>
        <v>0</v>
      </c>
      <c r="K98" s="826">
        <f>'Recycling - Case 3'!BK108</f>
        <v>0.47757051304815812</v>
      </c>
      <c r="L98" s="827">
        <f t="shared" si="89"/>
        <v>0.99999999999999989</v>
      </c>
      <c r="M98" s="4"/>
      <c r="N98" s="838">
        <f t="shared" si="56"/>
        <v>3566.0933523905292</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0.10621258883012506</v>
      </c>
      <c r="Q98" s="832">
        <f t="shared" si="57"/>
        <v>181.51536641586637</v>
      </c>
      <c r="R98" s="832">
        <f t="shared" si="58"/>
        <v>181.51536641586637</v>
      </c>
      <c r="S98" s="835">
        <f t="shared" si="59"/>
        <v>0</v>
      </c>
      <c r="T98" s="832">
        <f t="shared" si="60"/>
        <v>10491.521324296218</v>
      </c>
      <c r="U98" s="832">
        <f t="shared" si="61"/>
        <v>528.60530910386547</v>
      </c>
      <c r="V98" s="839">
        <f t="shared" si="62"/>
        <v>352.403539402577</v>
      </c>
      <c r="W98" s="4"/>
      <c r="X98" s="852">
        <f>'Recycling - Case 3'!AM148</f>
        <v>0</v>
      </c>
      <c r="Y98" s="853">
        <f>Parameters!S268</f>
        <v>0.71500000000000008</v>
      </c>
      <c r="Z98" s="853">
        <f t="shared" si="63"/>
        <v>0.4</v>
      </c>
      <c r="AA98" s="854">
        <f t="shared" si="64"/>
        <v>0</v>
      </c>
      <c r="AB98" s="854">
        <f t="shared" si="65"/>
        <v>0</v>
      </c>
      <c r="AC98" s="855">
        <f t="shared" si="66"/>
        <v>0</v>
      </c>
      <c r="AD98" s="854">
        <f t="shared" si="67"/>
        <v>6608.8943333913267</v>
      </c>
      <c r="AE98" s="854">
        <f t="shared" si="68"/>
        <v>338.84525830626581</v>
      </c>
      <c r="AF98" s="856">
        <f t="shared" si="69"/>
        <v>225.89683887084388</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6608.8943333913267</v>
      </c>
      <c r="AO98" s="854">
        <f t="shared" si="75"/>
        <v>338.84525830626581</v>
      </c>
      <c r="AP98" s="856">
        <f t="shared" si="76"/>
        <v>225.89683887084388</v>
      </c>
      <c r="AQ98" s="4"/>
      <c r="AR98" s="850">
        <f>'Recycling - Case 3'!G108</f>
        <v>707.94525755332154</v>
      </c>
      <c r="AS98" s="846">
        <v>1</v>
      </c>
      <c r="AT98" s="846">
        <f t="shared" si="77"/>
        <v>0.05</v>
      </c>
      <c r="AU98" s="832">
        <f t="shared" si="78"/>
        <v>17.69863143883304</v>
      </c>
      <c r="AV98" s="832">
        <f t="shared" si="79"/>
        <v>17.69863143883304</v>
      </c>
      <c r="AW98" s="835">
        <f t="shared" si="80"/>
        <v>0</v>
      </c>
      <c r="AX98" s="832">
        <f t="shared" si="44"/>
        <v>203.11995750632701</v>
      </c>
      <c r="AY98" s="832">
        <f t="shared" si="49"/>
        <v>11.465814459874892</v>
      </c>
      <c r="AZ98" s="930">
        <f t="shared" si="47"/>
        <v>7.6438763065832616</v>
      </c>
      <c r="BA98" s="4"/>
      <c r="BB98" s="1055">
        <f t="shared" si="81"/>
        <v>352.403539402577</v>
      </c>
      <c r="BC98" s="1056">
        <f t="shared" si="82"/>
        <v>225.89683887084388</v>
      </c>
      <c r="BD98" s="1082">
        <f t="shared" si="90"/>
        <v>7.6438763065832616</v>
      </c>
      <c r="BE98" s="1056">
        <f t="shared" si="54"/>
        <v>585.9442545800041</v>
      </c>
      <c r="BF98" s="167">
        <v>0</v>
      </c>
      <c r="BG98" s="1075">
        <f t="shared" si="83"/>
        <v>585.9442545800041</v>
      </c>
      <c r="BI98" s="1055">
        <f t="shared" si="84"/>
        <v>352.403539402577</v>
      </c>
      <c r="BJ98" s="1056">
        <f t="shared" si="85"/>
        <v>225.89683887084388</v>
      </c>
      <c r="BK98" s="1082">
        <f t="shared" si="86"/>
        <v>7.6438763065832616</v>
      </c>
      <c r="BL98" s="1056">
        <f t="shared" si="55"/>
        <v>585.9442545800041</v>
      </c>
      <c r="BM98" s="167">
        <v>0</v>
      </c>
      <c r="BN98" s="1075">
        <f t="shared" si="87"/>
        <v>585.9442545800041</v>
      </c>
    </row>
    <row r="99" spans="1:66">
      <c r="A99" s="927">
        <f>'Input data'!A129</f>
        <v>2029</v>
      </c>
      <c r="B99" s="824">
        <f>'Input data'!B129</f>
        <v>65.313000000000002</v>
      </c>
      <c r="C99" s="824">
        <f>'Recycling - Case 3'!AK109/B99</f>
        <v>305.53078863736653</v>
      </c>
      <c r="D99" s="825">
        <f>'Recycling - Case 3'!AM109</f>
        <v>0.16195192475313858</v>
      </c>
      <c r="E99" s="826">
        <f>'Recycling - Case 3'!BE109</f>
        <v>0.20768809633909027</v>
      </c>
      <c r="F99" s="826">
        <f>'Recycling - Case 3'!BF109</f>
        <v>0.26340469339235029</v>
      </c>
      <c r="G99" s="826">
        <f>'Recycling - Case 3'!BG109</f>
        <v>5.7550887042018932E-2</v>
      </c>
      <c r="H99" s="826">
        <f>'Recycling - Case 3'!BH109</f>
        <v>0</v>
      </c>
      <c r="I99" s="826">
        <f>'Recycling - Case 3'!BI109</f>
        <v>0</v>
      </c>
      <c r="J99" s="826">
        <f>'Recycling - Case 3'!BJ109</f>
        <v>0</v>
      </c>
      <c r="K99" s="826">
        <f>'Recycling - Case 3'!BK109</f>
        <v>0.47135632322654053</v>
      </c>
      <c r="L99" s="827">
        <f t="shared" si="89"/>
        <v>1</v>
      </c>
      <c r="M99" s="4"/>
      <c r="N99" s="838">
        <f t="shared" si="56"/>
        <v>3231.7721006039169</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0.10685450794614117</v>
      </c>
      <c r="Q99" s="832">
        <f t="shared" si="57"/>
        <v>169.07859561923743</v>
      </c>
      <c r="R99" s="832">
        <f t="shared" si="58"/>
        <v>169.07859561923743</v>
      </c>
      <c r="S99" s="835">
        <f t="shared" si="59"/>
        <v>0</v>
      </c>
      <c r="T99" s="832">
        <f t="shared" si="60"/>
        <v>10148.922387066497</v>
      </c>
      <c r="U99" s="832">
        <f t="shared" si="61"/>
        <v>511.67753284895758</v>
      </c>
      <c r="V99" s="839">
        <f t="shared" si="62"/>
        <v>341.11835523263841</v>
      </c>
      <c r="W99" s="4"/>
      <c r="X99" s="852">
        <f>'Recycling - Case 3'!AM149</f>
        <v>0</v>
      </c>
      <c r="Y99" s="853">
        <f>Parameters!S269</f>
        <v>0.71500000000000008</v>
      </c>
      <c r="Z99" s="853">
        <f t="shared" si="63"/>
        <v>0.4</v>
      </c>
      <c r="AA99" s="854">
        <f t="shared" si="64"/>
        <v>0</v>
      </c>
      <c r="AB99" s="854">
        <f t="shared" si="65"/>
        <v>0</v>
      </c>
      <c r="AC99" s="855">
        <f t="shared" si="66"/>
        <v>0</v>
      </c>
      <c r="AD99" s="854">
        <f t="shared" si="67"/>
        <v>6286.5747533378617</v>
      </c>
      <c r="AE99" s="854">
        <f t="shared" si="68"/>
        <v>322.31958005346502</v>
      </c>
      <c r="AF99" s="856">
        <f t="shared" si="69"/>
        <v>214.87972003564334</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6286.5747533378617</v>
      </c>
      <c r="AO99" s="854">
        <f t="shared" si="75"/>
        <v>322.31958005346502</v>
      </c>
      <c r="AP99" s="856">
        <f t="shared" si="76"/>
        <v>214.87972003564334</v>
      </c>
      <c r="AQ99" s="4"/>
      <c r="AR99" s="850">
        <f>'Recycling - Case 3'!G109</f>
        <v>727.28116463059234</v>
      </c>
      <c r="AS99" s="846">
        <v>1</v>
      </c>
      <c r="AT99" s="846">
        <f t="shared" si="77"/>
        <v>0.05</v>
      </c>
      <c r="AU99" s="832">
        <f t="shared" si="78"/>
        <v>18.182029115764809</v>
      </c>
      <c r="AV99" s="832">
        <f t="shared" si="79"/>
        <v>18.182029115764809</v>
      </c>
      <c r="AW99" s="835">
        <f t="shared" si="80"/>
        <v>0</v>
      </c>
      <c r="AX99" s="832">
        <f t="shared" si="44"/>
        <v>209.47320115836328</v>
      </c>
      <c r="AY99" s="832">
        <f t="shared" si="49"/>
        <v>11.828785463728535</v>
      </c>
      <c r="AZ99" s="930">
        <f t="shared" si="47"/>
        <v>7.8858569758190233</v>
      </c>
      <c r="BA99" s="4"/>
      <c r="BB99" s="1055">
        <f t="shared" si="81"/>
        <v>341.11835523263841</v>
      </c>
      <c r="BC99" s="1056">
        <f t="shared" si="82"/>
        <v>214.87972003564334</v>
      </c>
      <c r="BD99" s="1082">
        <f t="shared" si="90"/>
        <v>7.8858569758190233</v>
      </c>
      <c r="BE99" s="1056">
        <f t="shared" si="54"/>
        <v>563.88393224410083</v>
      </c>
      <c r="BF99" s="167">
        <v>0</v>
      </c>
      <c r="BG99" s="1075">
        <f t="shared" si="83"/>
        <v>563.88393224410083</v>
      </c>
      <c r="BI99" s="1055">
        <f t="shared" si="84"/>
        <v>341.11835523263841</v>
      </c>
      <c r="BJ99" s="1056">
        <f t="shared" si="85"/>
        <v>214.87972003564334</v>
      </c>
      <c r="BK99" s="1082">
        <f t="shared" si="86"/>
        <v>7.8858569758190233</v>
      </c>
      <c r="BL99" s="1056">
        <f t="shared" si="55"/>
        <v>563.88393224410083</v>
      </c>
      <c r="BM99" s="167">
        <v>0</v>
      </c>
      <c r="BN99" s="1075">
        <f t="shared" si="87"/>
        <v>563.88393224410083</v>
      </c>
    </row>
    <row r="100" spans="1:66">
      <c r="A100" s="927">
        <f>'Input data'!A130</f>
        <v>2030</v>
      </c>
      <c r="B100" s="824">
        <f>'Input data'!B130</f>
        <v>65.956000000000003</v>
      </c>
      <c r="C100" s="824">
        <f>'Recycling - Case 3'!AK110/B100</f>
        <v>298.77645245461935</v>
      </c>
      <c r="D100" s="825">
        <f>'Recycling - Case 3'!AM110</f>
        <v>0.14703319749758129</v>
      </c>
      <c r="E100" s="826">
        <f>'Recycling - Case 3'!BE110</f>
        <v>0.2114166741059334</v>
      </c>
      <c r="F100" s="826">
        <f>'Recycling - Case 3'!BF110</f>
        <v>0.268133538717512</v>
      </c>
      <c r="G100" s="826">
        <f>'Recycling - Case 3'!BG110</f>
        <v>5.5420028163101563E-2</v>
      </c>
      <c r="H100" s="826">
        <f>'Recycling - Case 3'!BH110</f>
        <v>0</v>
      </c>
      <c r="I100" s="826">
        <f>'Recycling - Case 3'!BI110</f>
        <v>0</v>
      </c>
      <c r="J100" s="826">
        <f>'Recycling - Case 3'!BJ110</f>
        <v>0</v>
      </c>
      <c r="K100" s="826">
        <f>'Recycling - Case 3'!BK110</f>
        <v>0.46502975901345311</v>
      </c>
      <c r="L100" s="827">
        <f t="shared" si="89"/>
        <v>1</v>
      </c>
      <c r="M100" s="4"/>
      <c r="N100" s="838">
        <f t="shared" si="56"/>
        <v>2897.4508488173046</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0.10750722012463304</v>
      </c>
      <c r="Q100" s="832">
        <f t="shared" si="57"/>
        <v>155.74844310205341</v>
      </c>
      <c r="R100" s="832">
        <f t="shared" si="58"/>
        <v>155.74844310205341</v>
      </c>
      <c r="S100" s="835">
        <f t="shared" si="59"/>
        <v>0</v>
      </c>
      <c r="T100" s="832">
        <f t="shared" si="60"/>
        <v>9809.7020446537299</v>
      </c>
      <c r="U100" s="832">
        <f t="shared" si="61"/>
        <v>494.96878551482035</v>
      </c>
      <c r="V100" s="839">
        <f t="shared" si="62"/>
        <v>329.97919034321359</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5979.974884698292</v>
      </c>
      <c r="AE100" s="854">
        <f t="shared" si="68"/>
        <v>306.59986863956937</v>
      </c>
      <c r="AF100" s="856">
        <f t="shared" si="69"/>
        <v>204.39991242637959</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5979.974884698292</v>
      </c>
      <c r="AO100" s="854">
        <f t="shared" si="75"/>
        <v>306.59986863956937</v>
      </c>
      <c r="AP100" s="856">
        <f t="shared" si="76"/>
        <v>204.39991242637959</v>
      </c>
      <c r="AQ100" s="4"/>
      <c r="AR100" s="850">
        <f>'Recycling - Case 3'!G110</f>
        <v>746.92617855150922</v>
      </c>
      <c r="AS100" s="846">
        <v>1</v>
      </c>
      <c r="AT100" s="846">
        <f t="shared" si="77"/>
        <v>0.05</v>
      </c>
      <c r="AU100" s="832">
        <f t="shared" si="78"/>
        <v>18.673154463787732</v>
      </c>
      <c r="AV100" s="832">
        <f t="shared" si="79"/>
        <v>18.673154463787732</v>
      </c>
      <c r="AW100" s="835">
        <f t="shared" si="80"/>
        <v>0</v>
      </c>
      <c r="AX100" s="832">
        <f t="shared" si="44"/>
        <v>215.94758605109325</v>
      </c>
      <c r="AY100" s="832">
        <f t="shared" si="49"/>
        <v>12.198769571057777</v>
      </c>
      <c r="AZ100" s="930">
        <f t="shared" si="47"/>
        <v>8.1325130473718517</v>
      </c>
      <c r="BA100" s="4"/>
      <c r="BB100" s="1055">
        <f t="shared" si="81"/>
        <v>329.97919034321359</v>
      </c>
      <c r="BC100" s="1056">
        <f t="shared" si="82"/>
        <v>204.39991242637959</v>
      </c>
      <c r="BD100" s="1082">
        <f t="shared" si="90"/>
        <v>8.1325130473718517</v>
      </c>
      <c r="BE100" s="1056">
        <f t="shared" si="54"/>
        <v>542.51161581696499</v>
      </c>
      <c r="BF100" s="167">
        <v>0</v>
      </c>
      <c r="BG100" s="1075">
        <f t="shared" si="83"/>
        <v>542.51161581696499</v>
      </c>
      <c r="BI100" s="1055">
        <f t="shared" si="84"/>
        <v>329.97919034321359</v>
      </c>
      <c r="BJ100" s="1056">
        <f t="shared" si="85"/>
        <v>204.39991242637959</v>
      </c>
      <c r="BK100" s="1082">
        <f t="shared" si="86"/>
        <v>8.1325130473718517</v>
      </c>
      <c r="BL100" s="1056">
        <f t="shared" si="55"/>
        <v>542.51161581696499</v>
      </c>
      <c r="BM100" s="167">
        <v>0</v>
      </c>
      <c r="BN100" s="1075">
        <f t="shared" si="87"/>
        <v>542.51161581696499</v>
      </c>
    </row>
    <row r="101" spans="1:66">
      <c r="A101" s="927">
        <f>'Input data'!A131</f>
        <v>2031</v>
      </c>
      <c r="B101" s="824">
        <f>'Input data'!B131</f>
        <v>66.519000000000005</v>
      </c>
      <c r="C101" s="824">
        <f>'Recycling - Case 3'!AK111/B101</f>
        <v>290.33097527874179</v>
      </c>
      <c r="D101" s="825">
        <f>'Recycling - Case 3'!AM111</f>
        <v>0.13271850496636359</v>
      </c>
      <c r="E101" s="826">
        <f>'Recycling - Case 3'!BE111</f>
        <v>0.21211276344935903</v>
      </c>
      <c r="F101" s="826">
        <f>'Recycling - Case 3'!BF111</f>
        <v>0.26901636832262993</v>
      </c>
      <c r="G101" s="826">
        <f>'Recycling - Case 3'!BG111</f>
        <v>5.5251897183415201E-2</v>
      </c>
      <c r="H101" s="826">
        <f>'Recycling - Case 3'!BH111</f>
        <v>0</v>
      </c>
      <c r="I101" s="826">
        <f>'Recycling - Case 3'!BI111</f>
        <v>0</v>
      </c>
      <c r="J101" s="826">
        <f>'Recycling - Case 3'!BJ111</f>
        <v>0</v>
      </c>
      <c r="K101" s="826">
        <f>'Recycling - Case 3'!BK111</f>
        <v>0.46361897104459582</v>
      </c>
      <c r="L101" s="827">
        <f t="shared" si="89"/>
        <v>1</v>
      </c>
      <c r="M101" s="4"/>
      <c r="N101" s="838">
        <f t="shared" si="56"/>
        <v>2563.1295970306924</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0.10772094705529593</v>
      </c>
      <c r="Q101" s="832">
        <f t="shared" si="57"/>
        <v>138.05137380880259</v>
      </c>
      <c r="R101" s="832">
        <f t="shared" si="58"/>
        <v>138.05137380880259</v>
      </c>
      <c r="S101" s="835">
        <f t="shared" si="59"/>
        <v>0</v>
      </c>
      <c r="T101" s="832">
        <f t="shared" si="60"/>
        <v>9469.3286042682485</v>
      </c>
      <c r="U101" s="832">
        <f t="shared" si="61"/>
        <v>478.42481419428481</v>
      </c>
      <c r="V101" s="839">
        <f t="shared" si="62"/>
        <v>318.9498761295232</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5688.3280681002798</v>
      </c>
      <c r="AE101" s="854">
        <f t="shared" si="68"/>
        <v>291.64681659801204</v>
      </c>
      <c r="AF101" s="856">
        <f t="shared" si="69"/>
        <v>194.43121106534136</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5688.3280681002798</v>
      </c>
      <c r="AO101" s="854">
        <f t="shared" si="75"/>
        <v>291.64681659801204</v>
      </c>
      <c r="AP101" s="856">
        <f t="shared" si="76"/>
        <v>194.43121106534136</v>
      </c>
      <c r="AQ101" s="4"/>
      <c r="AR101" s="850">
        <f>'Recycling - Case 3'!G111</f>
        <v>753.30193570058589</v>
      </c>
      <c r="AS101" s="846">
        <v>1</v>
      </c>
      <c r="AT101" s="846">
        <f t="shared" si="77"/>
        <v>0.05</v>
      </c>
      <c r="AU101" s="832">
        <f t="shared" si="78"/>
        <v>18.832548392514649</v>
      </c>
      <c r="AV101" s="832">
        <f t="shared" si="79"/>
        <v>18.832548392514649</v>
      </c>
      <c r="AW101" s="835">
        <f t="shared" si="80"/>
        <v>0</v>
      </c>
      <c r="AX101" s="832">
        <f t="shared" si="44"/>
        <v>222.20432604856688</v>
      </c>
      <c r="AY101" s="832">
        <f t="shared" si="49"/>
        <v>12.575808395041001</v>
      </c>
      <c r="AZ101" s="930">
        <f t="shared" si="47"/>
        <v>8.3838722633606668</v>
      </c>
      <c r="BA101" s="4"/>
      <c r="BB101" s="1055">
        <f t="shared" si="81"/>
        <v>318.9498761295232</v>
      </c>
      <c r="BC101" s="1056">
        <f t="shared" si="82"/>
        <v>194.43121106534136</v>
      </c>
      <c r="BD101" s="1082">
        <f t="shared" si="90"/>
        <v>8.3838722633606668</v>
      </c>
      <c r="BE101" s="1056">
        <f t="shared" si="54"/>
        <v>521.76495945822523</v>
      </c>
      <c r="BF101" s="167">
        <v>0</v>
      </c>
      <c r="BG101" s="1075">
        <f t="shared" si="83"/>
        <v>521.76495945822523</v>
      </c>
      <c r="BI101" s="1055">
        <f t="shared" si="84"/>
        <v>318.9498761295232</v>
      </c>
      <c r="BJ101" s="1056">
        <f t="shared" si="85"/>
        <v>194.43121106534136</v>
      </c>
      <c r="BK101" s="1082">
        <f t="shared" si="86"/>
        <v>8.3838722633606668</v>
      </c>
      <c r="BL101" s="1056">
        <f t="shared" si="55"/>
        <v>521.76495945822523</v>
      </c>
      <c r="BM101" s="167">
        <v>0</v>
      </c>
      <c r="BN101" s="1075">
        <f t="shared" si="87"/>
        <v>521.76495945822523</v>
      </c>
    </row>
    <row r="102" spans="1:66">
      <c r="A102" s="927">
        <f>'Input data'!A132</f>
        <v>2032</v>
      </c>
      <c r="B102" s="824">
        <f>'Input data'!B132</f>
        <v>67.087000000000003</v>
      </c>
      <c r="C102" s="824">
        <f>'Recycling - Case 3'!AK112/B102</f>
        <v>282.02939340599443</v>
      </c>
      <c r="D102" s="825">
        <f>'Recycling - Case 3'!AM112</f>
        <v>0.11779855967945818</v>
      </c>
      <c r="E102" s="826">
        <f>'Recycling - Case 3'!BE112</f>
        <v>0.21279903570632283</v>
      </c>
      <c r="F102" s="826">
        <f>'Recycling - Case 3'!BF112</f>
        <v>0.26988674720623285</v>
      </c>
      <c r="G102" s="826">
        <f>'Recycling - Case 3'!BG112</f>
        <v>5.5086137388376498E-2</v>
      </c>
      <c r="H102" s="826">
        <f>'Recycling - Case 3'!BH112</f>
        <v>0</v>
      </c>
      <c r="I102" s="826">
        <f>'Recycling - Case 3'!BI112</f>
        <v>0</v>
      </c>
      <c r="J102" s="826">
        <f>'Recycling - Case 3'!BJ112</f>
        <v>0</v>
      </c>
      <c r="K102" s="826">
        <f>'Recycling - Case 3'!BK112</f>
        <v>0.46222807969906798</v>
      </c>
      <c r="L102" s="827">
        <f t="shared" si="89"/>
        <v>1.0000000000000002</v>
      </c>
      <c r="M102" s="4"/>
      <c r="N102" s="838">
        <f t="shared" si="56"/>
        <v>2228.8083452440806</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0.10793165975254559</v>
      </c>
      <c r="Q102" s="832">
        <f t="shared" si="57"/>
        <v>120.27949198625913</v>
      </c>
      <c r="R102" s="832">
        <f t="shared" si="58"/>
        <v>120.27949198625913</v>
      </c>
      <c r="S102" s="835">
        <f t="shared" si="59"/>
        <v>0</v>
      </c>
      <c r="T102" s="832">
        <f t="shared" si="60"/>
        <v>9127.7834906324952</v>
      </c>
      <c r="U102" s="832">
        <f t="shared" si="61"/>
        <v>461.824605622013</v>
      </c>
      <c r="V102" s="839">
        <f t="shared" si="62"/>
        <v>307.88307041467533</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5410.9050345902879</v>
      </c>
      <c r="AE102" s="854">
        <f t="shared" si="68"/>
        <v>277.42303350999231</v>
      </c>
      <c r="AF102" s="856">
        <f t="shared" si="69"/>
        <v>184.94868900666154</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5410.9050345902879</v>
      </c>
      <c r="AO102" s="854">
        <f t="shared" si="75"/>
        <v>277.42303350999231</v>
      </c>
      <c r="AP102" s="856">
        <f t="shared" si="76"/>
        <v>184.94868900666154</v>
      </c>
      <c r="AQ102" s="4"/>
      <c r="AR102" s="850">
        <f>'Recycling - Case 3'!G112</f>
        <v>759.73431591492977</v>
      </c>
      <c r="AS102" s="846">
        <v>1</v>
      </c>
      <c r="AT102" s="846">
        <f t="shared" si="77"/>
        <v>0.05</v>
      </c>
      <c r="AU102" s="832">
        <f t="shared" si="78"/>
        <v>18.993357897873246</v>
      </c>
      <c r="AV102" s="832">
        <f t="shared" si="79"/>
        <v>18.993357897873246</v>
      </c>
      <c r="AW102" s="835">
        <f t="shared" si="80"/>
        <v>0</v>
      </c>
      <c r="AX102" s="832">
        <f t="shared" si="44"/>
        <v>228.25751137940415</v>
      </c>
      <c r="AY102" s="832">
        <f t="shared" si="49"/>
        <v>12.940172567035964</v>
      </c>
      <c r="AZ102" s="930">
        <f t="shared" si="47"/>
        <v>8.6267817113573084</v>
      </c>
      <c r="BA102" s="4"/>
      <c r="BB102" s="1055">
        <f t="shared" si="81"/>
        <v>307.88307041467533</v>
      </c>
      <c r="BC102" s="1056">
        <f t="shared" si="82"/>
        <v>184.94868900666154</v>
      </c>
      <c r="BD102" s="1082">
        <f t="shared" si="90"/>
        <v>8.6267817113573084</v>
      </c>
      <c r="BE102" s="1056">
        <f t="shared" si="54"/>
        <v>501.45854113269417</v>
      </c>
      <c r="BF102" s="167">
        <v>0</v>
      </c>
      <c r="BG102" s="1075">
        <f t="shared" si="83"/>
        <v>501.45854113269417</v>
      </c>
      <c r="BI102" s="1055">
        <f t="shared" si="84"/>
        <v>307.88307041467533</v>
      </c>
      <c r="BJ102" s="1056">
        <f t="shared" si="85"/>
        <v>184.94868900666154</v>
      </c>
      <c r="BK102" s="1082">
        <f t="shared" si="86"/>
        <v>8.6267817113573084</v>
      </c>
      <c r="BL102" s="1056">
        <f t="shared" si="55"/>
        <v>501.45854113269417</v>
      </c>
      <c r="BM102" s="167">
        <v>0</v>
      </c>
      <c r="BN102" s="1075">
        <f t="shared" si="87"/>
        <v>501.45854113269417</v>
      </c>
    </row>
    <row r="103" spans="1:66">
      <c r="A103" s="927">
        <f>'Input data'!A133</f>
        <v>2033</v>
      </c>
      <c r="B103" s="824">
        <f>'Input data'!B133</f>
        <v>67.659000000000006</v>
      </c>
      <c r="C103" s="824">
        <f>'Recycling - Case 3'!AK113/B103</f>
        <v>280.78573086874633</v>
      </c>
      <c r="D103" s="825">
        <f>'Recycling - Case 3'!AM113</f>
        <v>0.11732001687532498</v>
      </c>
      <c r="E103" s="826">
        <f>'Recycling - Case 3'!BE113</f>
        <v>0.21347445167958309</v>
      </c>
      <c r="F103" s="826">
        <f>'Recycling - Case 3'!BF113</f>
        <v>0.27074335738507738</v>
      </c>
      <c r="G103" s="826">
        <f>'Recycling - Case 3'!BG113</f>
        <v>5.4922999782043951E-2</v>
      </c>
      <c r="H103" s="826">
        <f>'Recycling - Case 3'!BH113</f>
        <v>0</v>
      </c>
      <c r="I103" s="826">
        <f>'Recycling - Case 3'!BI113</f>
        <v>0</v>
      </c>
      <c r="J103" s="826">
        <f>'Recycling - Case 3'!BJ113</f>
        <v>0</v>
      </c>
      <c r="K103" s="826">
        <f>'Recycling - Case 3'!BK113</f>
        <v>0.46085919115329549</v>
      </c>
      <c r="L103" s="827">
        <f t="shared" si="89"/>
        <v>1</v>
      </c>
      <c r="M103" s="4"/>
      <c r="N103" s="838">
        <f t="shared" si="56"/>
        <v>2228.8083452440806</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0.10813903914177052</v>
      </c>
      <c r="Q103" s="832">
        <f t="shared" si="57"/>
        <v>120.51059644292721</v>
      </c>
      <c r="R103" s="832">
        <f t="shared" si="58"/>
        <v>120.51059644292721</v>
      </c>
      <c r="S103" s="835">
        <f t="shared" si="59"/>
        <v>0</v>
      </c>
      <c r="T103" s="832">
        <f t="shared" si="60"/>
        <v>8803.1268332043946</v>
      </c>
      <c r="U103" s="832">
        <f t="shared" si="61"/>
        <v>445.16725387102827</v>
      </c>
      <c r="V103" s="839">
        <f t="shared" si="62"/>
        <v>296.7781692473522</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5147.0120820813354</v>
      </c>
      <c r="AE103" s="854">
        <f t="shared" si="68"/>
        <v>263.89295250895225</v>
      </c>
      <c r="AF103" s="856">
        <f t="shared" si="69"/>
        <v>175.92863500596818</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5147.0120820813354</v>
      </c>
      <c r="AO103" s="854">
        <f t="shared" si="75"/>
        <v>263.89295250895225</v>
      </c>
      <c r="AP103" s="856">
        <f t="shared" si="76"/>
        <v>175.92863500596818</v>
      </c>
      <c r="AQ103" s="4"/>
      <c r="AR103" s="850">
        <f>'Recycling - Case 3'!G113</f>
        <v>766.21199458148715</v>
      </c>
      <c r="AS103" s="846">
        <v>1</v>
      </c>
      <c r="AT103" s="846">
        <f t="shared" si="77"/>
        <v>0.05</v>
      </c>
      <c r="AU103" s="832">
        <f t="shared" si="78"/>
        <v>19.155299864537181</v>
      </c>
      <c r="AV103" s="832">
        <f t="shared" si="79"/>
        <v>19.155299864537181</v>
      </c>
      <c r="AW103" s="835">
        <f t="shared" si="80"/>
        <v>0</v>
      </c>
      <c r="AX103" s="832">
        <f t="shared" si="44"/>
        <v>234.12012860586307</v>
      </c>
      <c r="AY103" s="832">
        <f t="shared" si="49"/>
        <v>13.292682638078256</v>
      </c>
      <c r="AZ103" s="930">
        <f t="shared" si="47"/>
        <v>8.8617884253855035</v>
      </c>
      <c r="BA103" s="4"/>
      <c r="BB103" s="1055">
        <f t="shared" si="81"/>
        <v>296.7781692473522</v>
      </c>
      <c r="BC103" s="1056">
        <f t="shared" si="82"/>
        <v>175.92863500596818</v>
      </c>
      <c r="BD103" s="1082">
        <f t="shared" si="90"/>
        <v>8.8617884253855035</v>
      </c>
      <c r="BE103" s="1056">
        <f t="shared" si="54"/>
        <v>481.56859267870584</v>
      </c>
      <c r="BF103" s="167">
        <v>0</v>
      </c>
      <c r="BG103" s="1075">
        <f t="shared" si="83"/>
        <v>481.56859267870584</v>
      </c>
      <c r="BI103" s="1055">
        <f t="shared" si="84"/>
        <v>296.7781692473522</v>
      </c>
      <c r="BJ103" s="1056">
        <f t="shared" si="85"/>
        <v>175.92863500596818</v>
      </c>
      <c r="BK103" s="1082">
        <f t="shared" si="86"/>
        <v>8.8617884253855035</v>
      </c>
      <c r="BL103" s="1056">
        <f t="shared" si="55"/>
        <v>481.56859267870584</v>
      </c>
      <c r="BM103" s="167">
        <v>0</v>
      </c>
      <c r="BN103" s="1075">
        <f t="shared" si="87"/>
        <v>481.56859267870584</v>
      </c>
    </row>
    <row r="104" spans="1:66">
      <c r="A104" s="927">
        <f>'Input data'!A134</f>
        <v>2034</v>
      </c>
      <c r="B104" s="824">
        <f>'Input data'!B134</f>
        <v>68.236999999999995</v>
      </c>
      <c r="C104" s="824">
        <f>'Recycling - Case 3'!AK114/B104</f>
        <v>279.55108838648846</v>
      </c>
      <c r="D104" s="825">
        <f>'Recycling - Case 3'!AM114</f>
        <v>0.11684001731678251</v>
      </c>
      <c r="E104" s="826">
        <f>'Recycling - Case 3'!BE114</f>
        <v>0.21414150052464848</v>
      </c>
      <c r="F104" s="826">
        <f>'Recycling - Case 3'!BF114</f>
        <v>0.27158935578175625</v>
      </c>
      <c r="G104" s="826">
        <f>'Recycling - Case 3'!BG114</f>
        <v>5.4761883142522443E-2</v>
      </c>
      <c r="H104" s="826">
        <f>'Recycling - Case 3'!BH114</f>
        <v>0</v>
      </c>
      <c r="I104" s="826">
        <f>'Recycling - Case 3'!BI114</f>
        <v>0</v>
      </c>
      <c r="J104" s="826">
        <f>'Recycling - Case 3'!BJ114</f>
        <v>0</v>
      </c>
      <c r="K104" s="826">
        <f>'Recycling - Case 3'!BK114</f>
        <v>0.45950726055107272</v>
      </c>
      <c r="L104" s="827">
        <f t="shared" si="89"/>
        <v>0.99999999999999989</v>
      </c>
      <c r="M104" s="4"/>
      <c r="N104" s="838">
        <f t="shared" si="56"/>
        <v>2228.8083452440806</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0.10834384949205751</v>
      </c>
      <c r="Q104" s="832">
        <f t="shared" si="57"/>
        <v>120.73883795188321</v>
      </c>
      <c r="R104" s="832">
        <f t="shared" si="58"/>
        <v>120.73883795188321</v>
      </c>
      <c r="S104" s="835">
        <f t="shared" si="59"/>
        <v>0</v>
      </c>
      <c r="T104" s="832">
        <f t="shared" si="60"/>
        <v>8494.5321093076927</v>
      </c>
      <c r="U104" s="832">
        <f t="shared" si="61"/>
        <v>429.33356184858525</v>
      </c>
      <c r="V104" s="839">
        <f t="shared" si="62"/>
        <v>286.2223745657235</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4895.9893407364507</v>
      </c>
      <c r="AE104" s="854">
        <f t="shared" si="68"/>
        <v>251.02274134488491</v>
      </c>
      <c r="AF104" s="856">
        <f t="shared" si="69"/>
        <v>167.34849422992326</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4895.9893407364507</v>
      </c>
      <c r="AO104" s="854">
        <f t="shared" si="75"/>
        <v>251.02274134488491</v>
      </c>
      <c r="AP104" s="856">
        <f t="shared" si="76"/>
        <v>167.34849422992326</v>
      </c>
      <c r="AQ104" s="4"/>
      <c r="AR104" s="850">
        <f>'Recycling - Case 3'!G114</f>
        <v>772.75762092636501</v>
      </c>
      <c r="AS104" s="846">
        <v>1</v>
      </c>
      <c r="AT104" s="846">
        <f t="shared" si="77"/>
        <v>0.05</v>
      </c>
      <c r="AU104" s="832">
        <f t="shared" si="78"/>
        <v>19.318940523159128</v>
      </c>
      <c r="AV104" s="832">
        <f t="shared" si="79"/>
        <v>19.318940523159128</v>
      </c>
      <c r="AW104" s="835">
        <f t="shared" si="80"/>
        <v>0</v>
      </c>
      <c r="AX104" s="832">
        <f t="shared" si="44"/>
        <v>239.80497424234409</v>
      </c>
      <c r="AY104" s="832">
        <f t="shared" si="49"/>
        <v>13.63409488667811</v>
      </c>
      <c r="AZ104" s="930">
        <f t="shared" si="47"/>
        <v>9.0893965911187404</v>
      </c>
      <c r="BA104" s="4"/>
      <c r="BB104" s="1055">
        <f t="shared" si="81"/>
        <v>286.2223745657235</v>
      </c>
      <c r="BC104" s="1056">
        <f t="shared" si="82"/>
        <v>167.34849422992326</v>
      </c>
      <c r="BD104" s="1082">
        <f t="shared" si="90"/>
        <v>9.0893965911187404</v>
      </c>
      <c r="BE104" s="1056">
        <f t="shared" si="54"/>
        <v>462.6602653867655</v>
      </c>
      <c r="BF104" s="167">
        <v>0</v>
      </c>
      <c r="BG104" s="1075">
        <f t="shared" si="83"/>
        <v>462.6602653867655</v>
      </c>
      <c r="BI104" s="1055">
        <f t="shared" si="84"/>
        <v>286.2223745657235</v>
      </c>
      <c r="BJ104" s="1056">
        <f t="shared" si="85"/>
        <v>167.34849422992326</v>
      </c>
      <c r="BK104" s="1082">
        <f t="shared" si="86"/>
        <v>9.0893965911187404</v>
      </c>
      <c r="BL104" s="1056">
        <f t="shared" si="55"/>
        <v>462.6602653867655</v>
      </c>
      <c r="BM104" s="167">
        <v>0</v>
      </c>
      <c r="BN104" s="1075">
        <f t="shared" si="87"/>
        <v>462.6602653867655</v>
      </c>
    </row>
    <row r="105" spans="1:66">
      <c r="A105" s="927">
        <f>'Input data'!A135</f>
        <v>2035</v>
      </c>
      <c r="B105" s="824">
        <f>'Input data'!B135</f>
        <v>68.819000000000003</v>
      </c>
      <c r="C105" s="824">
        <f>'Recycling - Case 3'!AK115/B105</f>
        <v>278.32971891322461</v>
      </c>
      <c r="D105" s="825">
        <f>'Recycling - Case 3'!AM115</f>
        <v>0.11636028774565652</v>
      </c>
      <c r="E105" s="826">
        <f>'Recycling - Case 3'!BE115</f>
        <v>0.21479800056253123</v>
      </c>
      <c r="F105" s="826">
        <f>'Recycling - Case 3'!BF115</f>
        <v>0.27242197543708896</v>
      </c>
      <c r="G105" s="826">
        <f>'Recycling - Case 3'!BG115</f>
        <v>5.4603314424906221E-2</v>
      </c>
      <c r="H105" s="826">
        <f>'Recycling - Case 3'!BH115</f>
        <v>0</v>
      </c>
      <c r="I105" s="826">
        <f>'Recycling - Case 3'!BI115</f>
        <v>0</v>
      </c>
      <c r="J105" s="826">
        <f>'Recycling - Case 3'!BJ115</f>
        <v>0</v>
      </c>
      <c r="K105" s="826">
        <f>'Recycling - Case 3'!BK115</f>
        <v>0.45817670957547346</v>
      </c>
      <c r="L105" s="827">
        <f t="shared" si="89"/>
        <v>0.99999999999999978</v>
      </c>
      <c r="M105" s="4"/>
      <c r="N105" s="838">
        <f t="shared" si="56"/>
        <v>2228.8083452440806</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0.10854542094175997</v>
      </c>
      <c r="Q105" s="832">
        <f t="shared" si="57"/>
        <v>120.9634700165131</v>
      </c>
      <c r="R105" s="832">
        <f t="shared" si="58"/>
        <v>120.9634700165131</v>
      </c>
      <c r="S105" s="835">
        <f t="shared" si="59"/>
        <v>0</v>
      </c>
      <c r="T105" s="832">
        <f t="shared" si="60"/>
        <v>8201.2123597561058</v>
      </c>
      <c r="U105" s="832">
        <f t="shared" si="61"/>
        <v>414.28321956809987</v>
      </c>
      <c r="V105" s="839">
        <f t="shared" si="62"/>
        <v>276.18881304539991</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4657.209122950364</v>
      </c>
      <c r="AE105" s="854">
        <f t="shared" si="68"/>
        <v>238.78021778608647</v>
      </c>
      <c r="AF105" s="856">
        <f t="shared" si="69"/>
        <v>159.18681185739098</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4657.209122950364</v>
      </c>
      <c r="AO105" s="854">
        <f t="shared" si="75"/>
        <v>238.78021778608647</v>
      </c>
      <c r="AP105" s="856">
        <f t="shared" si="76"/>
        <v>159.18681185739098</v>
      </c>
      <c r="AQ105" s="4"/>
      <c r="AR105" s="850">
        <f>'Recycling - Case 3'!G115</f>
        <v>779.34854572345671</v>
      </c>
      <c r="AS105" s="846">
        <v>1</v>
      </c>
      <c r="AT105" s="846">
        <f t="shared" si="77"/>
        <v>0.05</v>
      </c>
      <c r="AU105" s="832">
        <f t="shared" si="78"/>
        <v>19.483713643086418</v>
      </c>
      <c r="AV105" s="832">
        <f t="shared" si="79"/>
        <v>19.483713643086418</v>
      </c>
      <c r="AW105" s="835">
        <f t="shared" si="80"/>
        <v>0</v>
      </c>
      <c r="AX105" s="832">
        <f t="shared" si="44"/>
        <v>245.32353336161037</v>
      </c>
      <c r="AY105" s="832">
        <f t="shared" si="49"/>
        <v>13.96515452382013</v>
      </c>
      <c r="AZ105" s="930">
        <f t="shared" si="47"/>
        <v>9.3101030158800864</v>
      </c>
      <c r="BA105" s="4"/>
      <c r="BB105" s="1055">
        <f t="shared" si="81"/>
        <v>276.18881304539991</v>
      </c>
      <c r="BC105" s="1056">
        <f t="shared" si="82"/>
        <v>159.18681185739098</v>
      </c>
      <c r="BD105" s="1082">
        <f t="shared" si="90"/>
        <v>9.3101030158800864</v>
      </c>
      <c r="BE105" s="1056">
        <f t="shared" si="54"/>
        <v>444.68572791867098</v>
      </c>
      <c r="BF105" s="167">
        <v>0</v>
      </c>
      <c r="BG105" s="1075">
        <f t="shared" si="83"/>
        <v>444.68572791867098</v>
      </c>
      <c r="BI105" s="1055">
        <f t="shared" si="84"/>
        <v>276.18881304539991</v>
      </c>
      <c r="BJ105" s="1056">
        <f t="shared" si="85"/>
        <v>159.18681185739098</v>
      </c>
      <c r="BK105" s="1082">
        <f t="shared" si="86"/>
        <v>9.3101030158800864</v>
      </c>
      <c r="BL105" s="1056">
        <f t="shared" si="55"/>
        <v>444.68572791867098</v>
      </c>
      <c r="BM105" s="167">
        <v>0</v>
      </c>
      <c r="BN105" s="1075">
        <f t="shared" si="87"/>
        <v>444.68572791867098</v>
      </c>
    </row>
    <row r="106" spans="1:66">
      <c r="A106" s="927">
        <f>'Input data'!A136</f>
        <v>2036</v>
      </c>
      <c r="B106" s="824">
        <f>'Input data'!B136</f>
        <v>69.322999999999993</v>
      </c>
      <c r="C106" s="824">
        <f>'Recycling - Case 3'!AK116/B106</f>
        <v>277.28927932133206</v>
      </c>
      <c r="D106" s="825">
        <f>'Recycling - Case 3'!AM116</f>
        <v>0.11594774249602449</v>
      </c>
      <c r="E106" s="826">
        <f>'Recycling - Case 3'!BE116</f>
        <v>0.21535461553928698</v>
      </c>
      <c r="F106" s="826">
        <f>'Recycling - Case 3'!BF116</f>
        <v>0.27312791381234641</v>
      </c>
      <c r="G106" s="826">
        <f>'Recycling - Case 3'!BG116</f>
        <v>5.4468871594781171E-2</v>
      </c>
      <c r="H106" s="826">
        <f>'Recycling - Case 3'!BH116</f>
        <v>0</v>
      </c>
      <c r="I106" s="826">
        <f>'Recycling - Case 3'!BI116</f>
        <v>0</v>
      </c>
      <c r="J106" s="826">
        <f>'Recycling - Case 3'!BJ116</f>
        <v>0</v>
      </c>
      <c r="K106" s="826">
        <f>'Recycling - Case 3'!BK116</f>
        <v>0.45704859905358536</v>
      </c>
      <c r="L106" s="827">
        <f t="shared" si="89"/>
        <v>1</v>
      </c>
      <c r="M106" s="4"/>
      <c r="N106" s="838">
        <f t="shared" si="56"/>
        <v>2228.8083452440806</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0.10871632373127479</v>
      </c>
      <c r="Q106" s="832">
        <f t="shared" si="57"/>
        <v>121.15392479826117</v>
      </c>
      <c r="R106" s="832">
        <f t="shared" si="58"/>
        <v>121.15392479826117</v>
      </c>
      <c r="S106" s="835">
        <f t="shared" si="59"/>
        <v>0</v>
      </c>
      <c r="T106" s="832">
        <f t="shared" si="60"/>
        <v>7922.3884379772044</v>
      </c>
      <c r="U106" s="832">
        <f t="shared" si="61"/>
        <v>399.9778465771625</v>
      </c>
      <c r="V106" s="839">
        <f t="shared" si="62"/>
        <v>266.65189771810833</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4430.0743538035495</v>
      </c>
      <c r="AE106" s="854">
        <f t="shared" si="68"/>
        <v>227.13476914681419</v>
      </c>
      <c r="AF106" s="856">
        <f t="shared" si="69"/>
        <v>151.42317943120946</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4430.0743538035495</v>
      </c>
      <c r="AO106" s="854">
        <f t="shared" si="75"/>
        <v>227.13476914681419</v>
      </c>
      <c r="AP106" s="856">
        <f t="shared" si="76"/>
        <v>151.42317943120946</v>
      </c>
      <c r="AQ106" s="4"/>
      <c r="AR106" s="850">
        <f>'Recycling - Case 3'!G116</f>
        <v>785.05615070238139</v>
      </c>
      <c r="AS106" s="846">
        <v>1</v>
      </c>
      <c r="AT106" s="846">
        <f t="shared" si="77"/>
        <v>0.05</v>
      </c>
      <c r="AU106" s="832">
        <f t="shared" si="78"/>
        <v>19.626403767559538</v>
      </c>
      <c r="AV106" s="832">
        <f t="shared" si="79"/>
        <v>19.626403767559538</v>
      </c>
      <c r="AW106" s="835">
        <f t="shared" si="80"/>
        <v>0</v>
      </c>
      <c r="AX106" s="832">
        <f t="shared" si="44"/>
        <v>250.66340674109642</v>
      </c>
      <c r="AY106" s="832">
        <f t="shared" si="49"/>
        <v>14.2865303880735</v>
      </c>
      <c r="AZ106" s="930">
        <f t="shared" si="47"/>
        <v>9.5243535920489997</v>
      </c>
      <c r="BA106" s="4"/>
      <c r="BB106" s="1055">
        <f t="shared" si="81"/>
        <v>266.65189771810833</v>
      </c>
      <c r="BC106" s="1056">
        <f t="shared" si="82"/>
        <v>151.42317943120946</v>
      </c>
      <c r="BD106" s="1082">
        <f t="shared" si="90"/>
        <v>9.5243535920489997</v>
      </c>
      <c r="BE106" s="1056">
        <f t="shared" si="54"/>
        <v>427.5994307413668</v>
      </c>
      <c r="BF106" s="167">
        <v>0</v>
      </c>
      <c r="BG106" s="1075">
        <f t="shared" si="83"/>
        <v>427.5994307413668</v>
      </c>
      <c r="BI106" s="1055">
        <f t="shared" si="84"/>
        <v>266.65189771810833</v>
      </c>
      <c r="BJ106" s="1056">
        <f t="shared" si="85"/>
        <v>151.42317943120946</v>
      </c>
      <c r="BK106" s="1082">
        <f t="shared" si="86"/>
        <v>9.5243535920489997</v>
      </c>
      <c r="BL106" s="1056">
        <f t="shared" si="55"/>
        <v>427.5994307413668</v>
      </c>
      <c r="BM106" s="167">
        <v>0</v>
      </c>
      <c r="BN106" s="1075">
        <f t="shared" si="87"/>
        <v>427.5994307413668</v>
      </c>
    </row>
    <row r="107" spans="1:66">
      <c r="A107" s="927">
        <f>'Input data'!A137</f>
        <v>2037</v>
      </c>
      <c r="B107" s="824">
        <f>'Input data'!B137</f>
        <v>69.83</v>
      </c>
      <c r="C107" s="824">
        <f>'Recycling - Case 3'!AK117/B107</f>
        <v>276.2584053514305</v>
      </c>
      <c r="D107" s="825">
        <f>'Recycling - Case 3'!AM117</f>
        <v>0.11553542933791985</v>
      </c>
      <c r="E107" s="826">
        <f>'Recycling - Case 3'!BE117</f>
        <v>0.21590373797893481</v>
      </c>
      <c r="F107" s="826">
        <f>'Recycling - Case 3'!BF117</f>
        <v>0.27382434962354552</v>
      </c>
      <c r="G107" s="826">
        <f>'Recycling - Case 3'!BG117</f>
        <v>5.4336238485802095E-2</v>
      </c>
      <c r="H107" s="826">
        <f>'Recycling - Case 3'!BH117</f>
        <v>0</v>
      </c>
      <c r="I107" s="826">
        <f>'Recycling - Case 3'!BI117</f>
        <v>0</v>
      </c>
      <c r="J107" s="826">
        <f>'Recycling - Case 3'!BJ117</f>
        <v>0</v>
      </c>
      <c r="K107" s="826">
        <f>'Recycling - Case 3'!BK117</f>
        <v>0.45593567391171747</v>
      </c>
      <c r="L107" s="827">
        <f t="shared" si="89"/>
        <v>0.99999999999999978</v>
      </c>
      <c r="M107" s="4"/>
      <c r="N107" s="838">
        <f t="shared" si="56"/>
        <v>2228.8083452440806</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0.10888492601587016</v>
      </c>
      <c r="Q107" s="832">
        <f t="shared" si="57"/>
        <v>121.34181588772785</v>
      </c>
      <c r="R107" s="832">
        <f t="shared" si="58"/>
        <v>121.34181588772785</v>
      </c>
      <c r="S107" s="835">
        <f t="shared" si="59"/>
        <v>0</v>
      </c>
      <c r="T107" s="832">
        <f t="shared" si="60"/>
        <v>7657.3508104158946</v>
      </c>
      <c r="U107" s="832">
        <f t="shared" si="61"/>
        <v>386.37944344903758</v>
      </c>
      <c r="V107" s="839">
        <f t="shared" si="62"/>
        <v>257.5862956326917</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4214.0170780639228</v>
      </c>
      <c r="AE107" s="854">
        <f t="shared" si="68"/>
        <v>216.05727573962659</v>
      </c>
      <c r="AF107" s="856">
        <f t="shared" si="69"/>
        <v>144.03818382641774</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4214.0170780639228</v>
      </c>
      <c r="AO107" s="854">
        <f t="shared" si="75"/>
        <v>216.05727573962659</v>
      </c>
      <c r="AP107" s="856">
        <f t="shared" si="76"/>
        <v>144.03818382641774</v>
      </c>
      <c r="AQ107" s="4"/>
      <c r="AR107" s="850">
        <f>'Recycling - Case 3'!G117</f>
        <v>790.79772952046653</v>
      </c>
      <c r="AS107" s="846">
        <v>1</v>
      </c>
      <c r="AT107" s="846">
        <f t="shared" si="77"/>
        <v>0.05</v>
      </c>
      <c r="AU107" s="832">
        <f t="shared" si="78"/>
        <v>19.769943238011663</v>
      </c>
      <c r="AV107" s="832">
        <f t="shared" si="79"/>
        <v>19.769943238011663</v>
      </c>
      <c r="AW107" s="835">
        <f t="shared" si="80"/>
        <v>0</v>
      </c>
      <c r="AX107" s="832">
        <f t="shared" si="44"/>
        <v>255.83584957417918</v>
      </c>
      <c r="AY107" s="832">
        <f t="shared" si="49"/>
        <v>14.597500404928924</v>
      </c>
      <c r="AZ107" s="930">
        <f t="shared" si="47"/>
        <v>9.7316669366192823</v>
      </c>
      <c r="BA107" s="4"/>
      <c r="BB107" s="1055">
        <f t="shared" si="81"/>
        <v>257.5862956326917</v>
      </c>
      <c r="BC107" s="1056">
        <f t="shared" si="82"/>
        <v>144.03818382641774</v>
      </c>
      <c r="BD107" s="1082">
        <f t="shared" si="90"/>
        <v>9.7316669366192823</v>
      </c>
      <c r="BE107" s="1056">
        <f t="shared" si="54"/>
        <v>411.35614639572873</v>
      </c>
      <c r="BF107" s="167">
        <v>0</v>
      </c>
      <c r="BG107" s="1075">
        <f t="shared" si="83"/>
        <v>411.35614639572873</v>
      </c>
      <c r="BI107" s="1055">
        <f t="shared" si="84"/>
        <v>257.5862956326917</v>
      </c>
      <c r="BJ107" s="1056">
        <f t="shared" si="85"/>
        <v>144.03818382641774</v>
      </c>
      <c r="BK107" s="1082">
        <f t="shared" si="86"/>
        <v>9.7316669366192823</v>
      </c>
      <c r="BL107" s="1056">
        <f t="shared" si="55"/>
        <v>411.35614639572873</v>
      </c>
      <c r="BM107" s="167">
        <v>0</v>
      </c>
      <c r="BN107" s="1075">
        <f t="shared" si="87"/>
        <v>411.35614639572873</v>
      </c>
    </row>
    <row r="108" spans="1:66">
      <c r="A108" s="927">
        <f>'Input data'!A138</f>
        <v>2038</v>
      </c>
      <c r="B108" s="824">
        <f>'Input data'!B138</f>
        <v>70.341999999999999</v>
      </c>
      <c r="C108" s="824">
        <f>'Recycling - Case 3'!AK118/B108</f>
        <v>275.2330401205744</v>
      </c>
      <c r="D108" s="825">
        <f>'Recycling - Case 3'!AM118</f>
        <v>0.11512176667989489</v>
      </c>
      <c r="E108" s="826">
        <f>'Recycling - Case 3'!BE118</f>
        <v>0.21644759384611525</v>
      </c>
      <c r="F108" s="826">
        <f>'Recycling - Case 3'!BF118</f>
        <v>0.27451410599605514</v>
      </c>
      <c r="G108" s="826">
        <f>'Recycling - Case 3'!BG118</f>
        <v>5.4204877446273496E-2</v>
      </c>
      <c r="H108" s="826">
        <f>'Recycling - Case 3'!BH118</f>
        <v>0</v>
      </c>
      <c r="I108" s="826">
        <f>'Recycling - Case 3'!BI118</f>
        <v>0</v>
      </c>
      <c r="J108" s="826">
        <f>'Recycling - Case 3'!BJ118</f>
        <v>0</v>
      </c>
      <c r="K108" s="826">
        <f>'Recycling - Case 3'!BK118</f>
        <v>0.45483342271155608</v>
      </c>
      <c r="L108" s="827">
        <f t="shared" si="89"/>
        <v>1</v>
      </c>
      <c r="M108" s="4"/>
      <c r="N108" s="838">
        <f t="shared" si="56"/>
        <v>2228.8083452440806</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0.10905191125463772</v>
      </c>
      <c r="Q108" s="832">
        <f t="shared" si="57"/>
        <v>121.52790493457671</v>
      </c>
      <c r="R108" s="832">
        <f t="shared" si="58"/>
        <v>121.52790493457671</v>
      </c>
      <c r="S108" s="835">
        <f t="shared" si="59"/>
        <v>0</v>
      </c>
      <c r="T108" s="832">
        <f t="shared" si="60"/>
        <v>7405.425309526564</v>
      </c>
      <c r="U108" s="832">
        <f t="shared" si="61"/>
        <v>373.45340582390708</v>
      </c>
      <c r="V108" s="839">
        <f t="shared" si="62"/>
        <v>248.96893721593804</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4008.4970400029256</v>
      </c>
      <c r="AE108" s="854">
        <f t="shared" si="68"/>
        <v>205.52003806099705</v>
      </c>
      <c r="AF108" s="856">
        <f t="shared" si="69"/>
        <v>137.01335870733138</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4008.4970400029256</v>
      </c>
      <c r="AO108" s="854">
        <f t="shared" si="75"/>
        <v>205.52003806099705</v>
      </c>
      <c r="AP108" s="856">
        <f t="shared" si="76"/>
        <v>137.01335870733138</v>
      </c>
      <c r="AQ108" s="4"/>
      <c r="AR108" s="850">
        <f>'Recycling - Case 3'!G118</f>
        <v>796.59593140381867</v>
      </c>
      <c r="AS108" s="846">
        <v>1</v>
      </c>
      <c r="AT108" s="846">
        <f t="shared" si="77"/>
        <v>0.05</v>
      </c>
      <c r="AU108" s="832">
        <f t="shared" si="78"/>
        <v>19.914898285095468</v>
      </c>
      <c r="AV108" s="832">
        <f t="shared" si="79"/>
        <v>19.914898285095468</v>
      </c>
      <c r="AW108" s="835">
        <f t="shared" si="80"/>
        <v>0</v>
      </c>
      <c r="AX108" s="832">
        <f t="shared" si="44"/>
        <v>260.85202783345233</v>
      </c>
      <c r="AY108" s="832">
        <f t="shared" si="49"/>
        <v>14.898720025822309</v>
      </c>
      <c r="AZ108" s="930">
        <f t="shared" si="47"/>
        <v>9.9324800172148731</v>
      </c>
      <c r="BA108" s="4"/>
      <c r="BB108" s="1055">
        <f t="shared" si="81"/>
        <v>248.96893721593804</v>
      </c>
      <c r="BC108" s="1056">
        <f t="shared" si="82"/>
        <v>137.01335870733138</v>
      </c>
      <c r="BD108" s="1082">
        <f t="shared" si="90"/>
        <v>9.9324800172148731</v>
      </c>
      <c r="BE108" s="1056">
        <f t="shared" si="54"/>
        <v>395.91477594048428</v>
      </c>
      <c r="BF108" s="167">
        <v>0</v>
      </c>
      <c r="BG108" s="1075">
        <f t="shared" si="83"/>
        <v>395.91477594048428</v>
      </c>
      <c r="BI108" s="1055">
        <f t="shared" si="84"/>
        <v>248.96893721593804</v>
      </c>
      <c r="BJ108" s="1056">
        <f t="shared" si="85"/>
        <v>137.01335870733138</v>
      </c>
      <c r="BK108" s="1082">
        <f t="shared" si="86"/>
        <v>9.9324800172148731</v>
      </c>
      <c r="BL108" s="1056">
        <f t="shared" si="55"/>
        <v>395.91477594048428</v>
      </c>
      <c r="BM108" s="167">
        <v>0</v>
      </c>
      <c r="BN108" s="1075">
        <f t="shared" si="87"/>
        <v>395.91477594048428</v>
      </c>
    </row>
    <row r="109" spans="1:66">
      <c r="A109" s="927">
        <f>'Input data'!A139</f>
        <v>2039</v>
      </c>
      <c r="B109" s="824">
        <f>'Input data'!B139</f>
        <v>70.856999999999999</v>
      </c>
      <c r="C109" s="824">
        <f>'Recycling - Case 3'!AK119/B109</f>
        <v>274.21719647143982</v>
      </c>
      <c r="D109" s="825">
        <f>'Recycling - Case 3'!AM119</f>
        <v>0.11470841474361894</v>
      </c>
      <c r="E109" s="826">
        <f>'Recycling - Case 3'!BE119</f>
        <v>0.21698411843628101</v>
      </c>
      <c r="F109" s="826">
        <f>'Recycling - Case 3'!BF119</f>
        <v>0.27519456432593142</v>
      </c>
      <c r="G109" s="826">
        <f>'Recycling - Case 3'!BG119</f>
        <v>5.4075287177693221E-2</v>
      </c>
      <c r="H109" s="826">
        <f>'Recycling - Case 3'!BH119</f>
        <v>0</v>
      </c>
      <c r="I109" s="826">
        <f>'Recycling - Case 3'!BI119</f>
        <v>0</v>
      </c>
      <c r="J109" s="826">
        <f>'Recycling - Case 3'!BJ119</f>
        <v>0</v>
      </c>
      <c r="K109" s="826">
        <f>'Recycling - Case 3'!BK119</f>
        <v>0.45374603006009434</v>
      </c>
      <c r="L109" s="827">
        <f t="shared" si="89"/>
        <v>1</v>
      </c>
      <c r="M109" s="4"/>
      <c r="N109" s="838">
        <f t="shared" si="56"/>
        <v>2228.8083452440806</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0.10921664550170572</v>
      </c>
      <c r="Q109" s="832">
        <f t="shared" si="57"/>
        <v>121.71148546688303</v>
      </c>
      <c r="R109" s="832">
        <f t="shared" si="58"/>
        <v>121.71148546688303</v>
      </c>
      <c r="S109" s="835">
        <f t="shared" si="59"/>
        <v>0</v>
      </c>
      <c r="T109" s="832">
        <f t="shared" si="60"/>
        <v>7165.9699408308588</v>
      </c>
      <c r="U109" s="832">
        <f t="shared" si="61"/>
        <v>361.16685416258855</v>
      </c>
      <c r="V109" s="839">
        <f t="shared" si="62"/>
        <v>240.77790277505903</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3813.0003324747986</v>
      </c>
      <c r="AE109" s="854">
        <f t="shared" si="68"/>
        <v>195.49670752812708</v>
      </c>
      <c r="AF109" s="856">
        <f t="shared" si="69"/>
        <v>130.33113835208471</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3813.0003324747986</v>
      </c>
      <c r="AO109" s="854">
        <f t="shared" si="75"/>
        <v>195.49670752812708</v>
      </c>
      <c r="AP109" s="856">
        <f t="shared" si="76"/>
        <v>130.33113835208471</v>
      </c>
      <c r="AQ109" s="4"/>
      <c r="AR109" s="850">
        <f>'Recycling - Case 3'!G119</f>
        <v>802.42810712633093</v>
      </c>
      <c r="AS109" s="846">
        <v>1</v>
      </c>
      <c r="AT109" s="846">
        <f t="shared" si="77"/>
        <v>0.05</v>
      </c>
      <c r="AU109" s="832">
        <f t="shared" si="78"/>
        <v>20.060702678158275</v>
      </c>
      <c r="AV109" s="832">
        <f t="shared" si="79"/>
        <v>20.060702678158275</v>
      </c>
      <c r="AW109" s="835">
        <f t="shared" si="80"/>
        <v>0</v>
      </c>
      <c r="AX109" s="832">
        <f t="shared" si="44"/>
        <v>265.72189100523497</v>
      </c>
      <c r="AY109" s="832">
        <f t="shared" si="49"/>
        <v>15.190839506375632</v>
      </c>
      <c r="AZ109" s="930">
        <f t="shared" si="47"/>
        <v>10.127226337583755</v>
      </c>
      <c r="BA109" s="4"/>
      <c r="BB109" s="1055">
        <f t="shared" si="81"/>
        <v>240.77790277505903</v>
      </c>
      <c r="BC109" s="1056">
        <f t="shared" si="82"/>
        <v>130.33113835208471</v>
      </c>
      <c r="BD109" s="1082">
        <f t="shared" si="90"/>
        <v>10.127226337583755</v>
      </c>
      <c r="BE109" s="1056">
        <f t="shared" si="54"/>
        <v>381.23626746472752</v>
      </c>
      <c r="BF109" s="167">
        <v>0</v>
      </c>
      <c r="BG109" s="1075">
        <f t="shared" si="83"/>
        <v>381.23626746472752</v>
      </c>
      <c r="BI109" s="1055">
        <f t="shared" si="84"/>
        <v>240.77790277505903</v>
      </c>
      <c r="BJ109" s="1056">
        <f t="shared" si="85"/>
        <v>130.33113835208471</v>
      </c>
      <c r="BK109" s="1082">
        <f t="shared" si="86"/>
        <v>10.127226337583755</v>
      </c>
      <c r="BL109" s="1056">
        <f t="shared" si="55"/>
        <v>381.23626746472752</v>
      </c>
      <c r="BM109" s="167">
        <v>0</v>
      </c>
      <c r="BN109" s="1075">
        <f t="shared" si="87"/>
        <v>381.23626746472752</v>
      </c>
    </row>
    <row r="110" spans="1:66">
      <c r="A110" s="927">
        <f>'Input data'!A140</f>
        <v>2040</v>
      </c>
      <c r="B110" s="824">
        <f>'Input data'!B140</f>
        <v>71.375</v>
      </c>
      <c r="C110" s="824">
        <f>'Recycling - Case 3'!AK120/B110</f>
        <v>273.21078978421536</v>
      </c>
      <c r="D110" s="825">
        <f>'Recycling - Case 3'!AM120</f>
        <v>0.11429540140323477</v>
      </c>
      <c r="E110" s="826">
        <f>'Recycling - Case 3'!BE120</f>
        <v>0.2175134322347107</v>
      </c>
      <c r="F110" s="826">
        <f>'Recycling - Case 3'!BF120</f>
        <v>0.27586587742110319</v>
      </c>
      <c r="G110" s="826">
        <f>'Recycling - Case 3'!BG120</f>
        <v>5.3947438578469578E-2</v>
      </c>
      <c r="H110" s="826">
        <f>'Recycling - Case 3'!BH120</f>
        <v>0</v>
      </c>
      <c r="I110" s="826">
        <f>'Recycling - Case 3'!BI120</f>
        <v>0</v>
      </c>
      <c r="J110" s="826">
        <f>'Recycling - Case 3'!BJ120</f>
        <v>0</v>
      </c>
      <c r="K110" s="826">
        <f>'Recycling - Case 3'!BK120</f>
        <v>0.45267325176571649</v>
      </c>
      <c r="L110" s="827">
        <f t="shared" si="89"/>
        <v>1</v>
      </c>
      <c r="M110" s="4"/>
      <c r="N110" s="838">
        <f t="shared" si="56"/>
        <v>2228.8083452440806</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0.10937916575081506</v>
      </c>
      <c r="Q110" s="832">
        <f t="shared" si="57"/>
        <v>121.89259871062606</v>
      </c>
      <c r="R110" s="832">
        <f t="shared" si="58"/>
        <v>121.89259871062606</v>
      </c>
      <c r="S110" s="835">
        <f t="shared" si="59"/>
        <v>0</v>
      </c>
      <c r="T110" s="832">
        <f t="shared" si="60"/>
        <v>6938.3740615165798</v>
      </c>
      <c r="U110" s="832">
        <f t="shared" si="61"/>
        <v>349.48847802490531</v>
      </c>
      <c r="V110" s="839">
        <f t="shared" si="62"/>
        <v>232.99231868327021</v>
      </c>
      <c r="W110" s="4"/>
      <c r="X110" s="852">
        <f>'Recycling - Case 3'!AM160</f>
        <v>54.458288054632654</v>
      </c>
      <c r="Y110" s="853">
        <f>Parameters!S280</f>
        <v>0.71500000000000008</v>
      </c>
      <c r="Z110" s="853">
        <f t="shared" si="63"/>
        <v>0.4</v>
      </c>
      <c r="AA110" s="854">
        <f t="shared" si="64"/>
        <v>7.7875351918124709</v>
      </c>
      <c r="AB110" s="854">
        <f t="shared" si="65"/>
        <v>7.7875351918124709</v>
      </c>
      <c r="AC110" s="855">
        <f t="shared" si="66"/>
        <v>0</v>
      </c>
      <c r="AD110" s="854">
        <f t="shared" si="67"/>
        <v>3634.8256470728461</v>
      </c>
      <c r="AE110" s="854">
        <f t="shared" si="68"/>
        <v>185.96222059376473</v>
      </c>
      <c r="AF110" s="856">
        <f t="shared" si="69"/>
        <v>123.97481372917649</v>
      </c>
      <c r="AG110" s="4"/>
      <c r="AH110" s="852">
        <f>'Recycling - Case 3'!AM200</f>
        <v>54.458288054632654</v>
      </c>
      <c r="AI110" s="853">
        <f>Parameters!S280</f>
        <v>0.71500000000000008</v>
      </c>
      <c r="AJ110" s="853">
        <f t="shared" si="70"/>
        <v>0.4</v>
      </c>
      <c r="AK110" s="854">
        <f t="shared" si="71"/>
        <v>7.7875351918124709</v>
      </c>
      <c r="AL110" s="854">
        <f t="shared" si="72"/>
        <v>7.7875351918124709</v>
      </c>
      <c r="AM110" s="855">
        <f t="shared" si="73"/>
        <v>0</v>
      </c>
      <c r="AN110" s="854">
        <f t="shared" si="74"/>
        <v>3634.8256470728461</v>
      </c>
      <c r="AO110" s="854">
        <f t="shared" si="75"/>
        <v>185.96222059376473</v>
      </c>
      <c r="AP110" s="856">
        <f t="shared" si="76"/>
        <v>123.97481372917649</v>
      </c>
      <c r="AQ110" s="4"/>
      <c r="AR110" s="850">
        <f>'Recycling - Case 3'!G120</f>
        <v>808.29425668800366</v>
      </c>
      <c r="AS110" s="846">
        <v>1</v>
      </c>
      <c r="AT110" s="846">
        <f t="shared" si="77"/>
        <v>0.05</v>
      </c>
      <c r="AU110" s="832">
        <f t="shared" si="78"/>
        <v>20.207356417200092</v>
      </c>
      <c r="AV110" s="832">
        <f t="shared" si="79"/>
        <v>20.207356417200092</v>
      </c>
      <c r="AW110" s="835">
        <f t="shared" si="80"/>
        <v>0</v>
      </c>
      <c r="AX110" s="832">
        <f t="shared" si="44"/>
        <v>270.45480916286976</v>
      </c>
      <c r="AY110" s="832">
        <f t="shared" si="49"/>
        <v>15.474438259565282</v>
      </c>
      <c r="AZ110" s="930">
        <f t="shared" si="47"/>
        <v>10.316292173043522</v>
      </c>
      <c r="BA110" s="4"/>
      <c r="BB110" s="1055">
        <f t="shared" si="81"/>
        <v>232.99231868327021</v>
      </c>
      <c r="BC110" s="1056">
        <f t="shared" si="82"/>
        <v>123.97481372917649</v>
      </c>
      <c r="BD110" s="1082">
        <f t="shared" si="90"/>
        <v>10.316292173043522</v>
      </c>
      <c r="BE110" s="1056">
        <f t="shared" si="54"/>
        <v>367.2834245854902</v>
      </c>
      <c r="BF110" s="167">
        <v>0</v>
      </c>
      <c r="BG110" s="1075">
        <f t="shared" si="83"/>
        <v>367.2834245854902</v>
      </c>
      <c r="BI110" s="1055">
        <f t="shared" si="84"/>
        <v>232.99231868327021</v>
      </c>
      <c r="BJ110" s="1056">
        <f t="shared" si="85"/>
        <v>123.97481372917649</v>
      </c>
      <c r="BK110" s="1082">
        <f t="shared" si="86"/>
        <v>10.316292173043522</v>
      </c>
      <c r="BL110" s="1056">
        <f t="shared" si="55"/>
        <v>367.2834245854902</v>
      </c>
      <c r="BM110" s="167">
        <v>0</v>
      </c>
      <c r="BN110" s="1075">
        <f t="shared" si="87"/>
        <v>367.2834245854902</v>
      </c>
    </row>
    <row r="111" spans="1:66">
      <c r="A111" s="927">
        <f>'Input data'!A141</f>
        <v>2041</v>
      </c>
      <c r="B111" s="824">
        <f>'Input data'!B141</f>
        <v>71.819000000000003</v>
      </c>
      <c r="C111" s="824">
        <f>'Recycling - Case 3'!AK121/B111</f>
        <v>272.36014762770844</v>
      </c>
      <c r="D111" s="825">
        <f>'Recycling - Case 3'!AM121</f>
        <v>0.1139435668992394</v>
      </c>
      <c r="E111" s="826">
        <f>'Recycling - Case 3'!BE121</f>
        <v>0.21795910323761117</v>
      </c>
      <c r="F111" s="826">
        <f>'Recycling - Case 3'!BF121</f>
        <v>0.27643110882310512</v>
      </c>
      <c r="G111" s="826">
        <f>'Recycling - Case 3'!BG121</f>
        <v>5.3839792766846174E-2</v>
      </c>
      <c r="H111" s="826">
        <f>'Recycling - Case 3'!BH121</f>
        <v>0</v>
      </c>
      <c r="I111" s="826">
        <f>'Recycling - Case 3'!BI121</f>
        <v>0</v>
      </c>
      <c r="J111" s="826">
        <f>'Recycling - Case 3'!BJ121</f>
        <v>0</v>
      </c>
      <c r="K111" s="826">
        <f>'Recycling - Case 3'!BK121</f>
        <v>0.45176999517243749</v>
      </c>
      <c r="L111" s="827">
        <f t="shared" si="89"/>
        <v>1</v>
      </c>
      <c r="M111" s="4"/>
      <c r="N111" s="838">
        <f t="shared" si="56"/>
        <v>2228.8083452440806</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0.10951600435700118</v>
      </c>
      <c r="Q111" s="832">
        <f t="shared" si="57"/>
        <v>122.04509222433566</v>
      </c>
      <c r="R111" s="832">
        <f t="shared" si="58"/>
        <v>122.04509222433566</v>
      </c>
      <c r="S111" s="835">
        <f t="shared" si="59"/>
        <v>0</v>
      </c>
      <c r="T111" s="832">
        <f t="shared" si="60"/>
        <v>6722.0306577314332</v>
      </c>
      <c r="U111" s="832">
        <f t="shared" si="61"/>
        <v>338.38849600948191</v>
      </c>
      <c r="V111" s="839">
        <f t="shared" si="62"/>
        <v>225.59233067298794</v>
      </c>
      <c r="W111" s="4"/>
      <c r="X111" s="852">
        <f>'Recycling - Case 3'!AM161</f>
        <v>93.062142488016335</v>
      </c>
      <c r="Y111" s="853">
        <f>Parameters!S281</f>
        <v>0.71500000000000008</v>
      </c>
      <c r="Z111" s="853">
        <f t="shared" si="63"/>
        <v>0.4</v>
      </c>
      <c r="AA111" s="854">
        <f t="shared" si="64"/>
        <v>13.307886375786339</v>
      </c>
      <c r="AB111" s="854">
        <f t="shared" si="65"/>
        <v>13.307886375786339</v>
      </c>
      <c r="AC111" s="855">
        <f t="shared" si="66"/>
        <v>0</v>
      </c>
      <c r="AD111" s="854">
        <f t="shared" si="67"/>
        <v>3470.8609948013254</v>
      </c>
      <c r="AE111" s="854">
        <f t="shared" si="68"/>
        <v>177.27253864730727</v>
      </c>
      <c r="AF111" s="856">
        <f t="shared" si="69"/>
        <v>118.18169243153818</v>
      </c>
      <c r="AG111" s="4"/>
      <c r="AH111" s="852">
        <f>'Recycling - Case 3'!AM201</f>
        <v>93.062142488016335</v>
      </c>
      <c r="AI111" s="853">
        <f>Parameters!S281</f>
        <v>0.71500000000000008</v>
      </c>
      <c r="AJ111" s="853">
        <f t="shared" si="70"/>
        <v>0.4</v>
      </c>
      <c r="AK111" s="854">
        <f t="shared" si="71"/>
        <v>13.307886375786339</v>
      </c>
      <c r="AL111" s="854">
        <f t="shared" si="72"/>
        <v>13.307886375786339</v>
      </c>
      <c r="AM111" s="855">
        <f t="shared" si="73"/>
        <v>0</v>
      </c>
      <c r="AN111" s="854">
        <f t="shared" si="74"/>
        <v>3470.8609948013254</v>
      </c>
      <c r="AO111" s="854">
        <f t="shared" si="75"/>
        <v>177.27253864730727</v>
      </c>
      <c r="AP111" s="856">
        <f t="shared" si="76"/>
        <v>118.18169243153818</v>
      </c>
      <c r="AQ111" s="4"/>
      <c r="AR111" s="850">
        <f>'Recycling - Case 3'!G121</f>
        <v>813.32238488372309</v>
      </c>
      <c r="AS111" s="846">
        <v>1</v>
      </c>
      <c r="AT111" s="846">
        <f t="shared" si="77"/>
        <v>0.05</v>
      </c>
      <c r="AU111" s="832">
        <f t="shared" si="78"/>
        <v>20.333059622093078</v>
      </c>
      <c r="AV111" s="832">
        <f t="shared" si="79"/>
        <v>20.333059622093078</v>
      </c>
      <c r="AW111" s="835">
        <f t="shared" si="80"/>
        <v>0</v>
      </c>
      <c r="AX111" s="832">
        <f t="shared" si="44"/>
        <v>275.03780682898014</v>
      </c>
      <c r="AY111" s="832">
        <f t="shared" si="49"/>
        <v>15.750061955982725</v>
      </c>
      <c r="AZ111" s="930">
        <f t="shared" si="47"/>
        <v>10.500041303988484</v>
      </c>
      <c r="BA111" s="4"/>
      <c r="BB111" s="1055">
        <f t="shared" si="81"/>
        <v>225.59233067298794</v>
      </c>
      <c r="BC111" s="1056">
        <f t="shared" si="82"/>
        <v>118.18169243153818</v>
      </c>
      <c r="BD111" s="1082">
        <f t="shared" si="90"/>
        <v>10.500041303988484</v>
      </c>
      <c r="BE111" s="1056">
        <f t="shared" si="54"/>
        <v>354.27406440851462</v>
      </c>
      <c r="BF111" s="167">
        <v>0</v>
      </c>
      <c r="BG111" s="1075">
        <f t="shared" si="83"/>
        <v>354.27406440851462</v>
      </c>
      <c r="BI111" s="1055">
        <f t="shared" si="84"/>
        <v>225.59233067298794</v>
      </c>
      <c r="BJ111" s="1056">
        <f t="shared" si="85"/>
        <v>118.18169243153818</v>
      </c>
      <c r="BK111" s="1082">
        <f t="shared" si="86"/>
        <v>10.500041303988484</v>
      </c>
      <c r="BL111" s="1056">
        <f t="shared" si="55"/>
        <v>354.27406440851462</v>
      </c>
      <c r="BM111" s="167">
        <v>0</v>
      </c>
      <c r="BN111" s="1075">
        <f t="shared" si="87"/>
        <v>354.27406440851462</v>
      </c>
    </row>
    <row r="112" spans="1:66">
      <c r="A112" s="927">
        <f>'Input data'!A142</f>
        <v>2042</v>
      </c>
      <c r="B112" s="824">
        <f>'Input data'!B142</f>
        <v>72.265000000000001</v>
      </c>
      <c r="C112" s="824">
        <f>'Recycling - Case 3'!AK122/B112</f>
        <v>271.51659081789433</v>
      </c>
      <c r="D112" s="825">
        <f>'Recycling - Case 3'!AM122</f>
        <v>0.11359215694026195</v>
      </c>
      <c r="E112" s="826">
        <f>'Recycling - Case 3'!BE122</f>
        <v>0.21839951409244363</v>
      </c>
      <c r="F112" s="826">
        <f>'Recycling - Case 3'!BF122</f>
        <v>0.27698966893429416</v>
      </c>
      <c r="G112" s="826">
        <f>'Recycling - Case 3'!BG122</f>
        <v>5.373341747294632E-2</v>
      </c>
      <c r="H112" s="826">
        <f>'Recycling - Case 3'!BH122</f>
        <v>0</v>
      </c>
      <c r="I112" s="826">
        <f>'Recycling - Case 3'!BI122</f>
        <v>0</v>
      </c>
      <c r="J112" s="826">
        <f>'Recycling - Case 3'!BJ122</f>
        <v>0</v>
      </c>
      <c r="K112" s="826">
        <f>'Recycling - Case 3'!BK122</f>
        <v>0.45087739950031586</v>
      </c>
      <c r="L112" s="827">
        <f t="shared" si="89"/>
        <v>1</v>
      </c>
      <c r="M112" s="4"/>
      <c r="N112" s="838">
        <f t="shared" si="56"/>
        <v>2228.808345244081</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0.10965122788990392</v>
      </c>
      <c r="Q112" s="832">
        <f t="shared" si="57"/>
        <v>122.19578589363918</v>
      </c>
      <c r="R112" s="832">
        <f t="shared" si="58"/>
        <v>122.19578589363918</v>
      </c>
      <c r="S112" s="835">
        <f t="shared" si="59"/>
        <v>0</v>
      </c>
      <c r="T112" s="832">
        <f t="shared" si="60"/>
        <v>6516.3891399236663</v>
      </c>
      <c r="U112" s="832">
        <f t="shared" si="61"/>
        <v>327.83730370140586</v>
      </c>
      <c r="V112" s="839">
        <f t="shared" si="62"/>
        <v>218.55820246760391</v>
      </c>
      <c r="W112" s="4"/>
      <c r="X112" s="852">
        <f>'Recycling - Case 3'!AM162</f>
        <v>132.64546936052548</v>
      </c>
      <c r="Y112" s="853">
        <f>Parameters!S282</f>
        <v>0.71500000000000008</v>
      </c>
      <c r="Z112" s="853">
        <f t="shared" si="63"/>
        <v>0.4</v>
      </c>
      <c r="AA112" s="854">
        <f t="shared" si="64"/>
        <v>18.968302118555147</v>
      </c>
      <c r="AB112" s="854">
        <f t="shared" si="65"/>
        <v>18.968302118555147</v>
      </c>
      <c r="AC112" s="855">
        <f t="shared" si="66"/>
        <v>0</v>
      </c>
      <c r="AD112" s="854">
        <f t="shared" si="67"/>
        <v>3320.5534087253955</v>
      </c>
      <c r="AE112" s="854">
        <f t="shared" si="68"/>
        <v>169.27588819448491</v>
      </c>
      <c r="AF112" s="856">
        <f t="shared" si="69"/>
        <v>112.8505921296566</v>
      </c>
      <c r="AG112" s="4"/>
      <c r="AH112" s="852">
        <f>'Recycling - Case 3'!AM202</f>
        <v>132.64546936052548</v>
      </c>
      <c r="AI112" s="853">
        <f>Parameters!S282</f>
        <v>0.71500000000000008</v>
      </c>
      <c r="AJ112" s="853">
        <f t="shared" si="70"/>
        <v>0.4</v>
      </c>
      <c r="AK112" s="854">
        <f t="shared" si="71"/>
        <v>18.968302118555147</v>
      </c>
      <c r="AL112" s="854">
        <f t="shared" si="72"/>
        <v>18.968302118555147</v>
      </c>
      <c r="AM112" s="855">
        <f t="shared" si="73"/>
        <v>0</v>
      </c>
      <c r="AN112" s="854">
        <f t="shared" si="74"/>
        <v>3320.5534087253955</v>
      </c>
      <c r="AO112" s="854">
        <f t="shared" si="75"/>
        <v>169.27588819448491</v>
      </c>
      <c r="AP112" s="856">
        <f t="shared" si="76"/>
        <v>112.8505921296566</v>
      </c>
      <c r="AQ112" s="4"/>
      <c r="AR112" s="850">
        <f>'Recycling - Case 3'!G122</f>
        <v>818.37316230554939</v>
      </c>
      <c r="AS112" s="846">
        <v>1</v>
      </c>
      <c r="AT112" s="846">
        <f t="shared" si="77"/>
        <v>0.05</v>
      </c>
      <c r="AU112" s="832">
        <f t="shared" si="78"/>
        <v>20.459329057638737</v>
      </c>
      <c r="AV112" s="832">
        <f t="shared" si="79"/>
        <v>20.459329057638737</v>
      </c>
      <c r="AW112" s="835">
        <f t="shared" si="80"/>
        <v>0</v>
      </c>
      <c r="AX112" s="832">
        <f t="shared" si="44"/>
        <v>279.48018092396791</v>
      </c>
      <c r="AY112" s="832">
        <f t="shared" si="49"/>
        <v>16.01695496265096</v>
      </c>
      <c r="AZ112" s="930">
        <f t="shared" si="47"/>
        <v>10.677969975100639</v>
      </c>
      <c r="BA112" s="4"/>
      <c r="BB112" s="1055">
        <f t="shared" si="81"/>
        <v>218.55820246760391</v>
      </c>
      <c r="BC112" s="1056">
        <f t="shared" si="82"/>
        <v>112.8505921296566</v>
      </c>
      <c r="BD112" s="1082">
        <f t="shared" si="90"/>
        <v>10.677969975100639</v>
      </c>
      <c r="BE112" s="1056">
        <f t="shared" si="54"/>
        <v>342.08676457236118</v>
      </c>
      <c r="BF112" s="167">
        <v>0</v>
      </c>
      <c r="BG112" s="1075">
        <f t="shared" si="83"/>
        <v>342.08676457236118</v>
      </c>
      <c r="BI112" s="1055">
        <f t="shared" si="84"/>
        <v>218.55820246760391</v>
      </c>
      <c r="BJ112" s="1056">
        <f t="shared" si="85"/>
        <v>112.8505921296566</v>
      </c>
      <c r="BK112" s="1082">
        <f t="shared" si="86"/>
        <v>10.677969975100639</v>
      </c>
      <c r="BL112" s="1056">
        <f t="shared" si="55"/>
        <v>342.08676457236118</v>
      </c>
      <c r="BM112" s="167">
        <v>0</v>
      </c>
      <c r="BN112" s="1075">
        <f t="shared" si="87"/>
        <v>342.08676457236118</v>
      </c>
    </row>
    <row r="113" spans="1:66">
      <c r="A113" s="927">
        <f>'Input data'!A143</f>
        <v>2043</v>
      </c>
      <c r="B113" s="824">
        <f>'Input data'!B143</f>
        <v>72.713999999999999</v>
      </c>
      <c r="C113" s="824">
        <f>'Recycling - Case 3'!AK123/B113</f>
        <v>270.67819898943884</v>
      </c>
      <c r="D113" s="825">
        <f>'Recycling - Case 3'!AM123</f>
        <v>0.11324040428219664</v>
      </c>
      <c r="E113" s="826">
        <f>'Recycling - Case 3'!BE123</f>
        <v>0.218835707932068</v>
      </c>
      <c r="F113" s="826">
        <f>'Recycling - Case 3'!BF123</f>
        <v>0.27754288072934236</v>
      </c>
      <c r="G113" s="826">
        <f>'Recycling - Case 3'!BG123</f>
        <v>5.3628060742115964E-2</v>
      </c>
      <c r="H113" s="826">
        <f>'Recycling - Case 3'!BH123</f>
        <v>0</v>
      </c>
      <c r="I113" s="826">
        <f>'Recycling - Case 3'!BI123</f>
        <v>0</v>
      </c>
      <c r="J113" s="826">
        <f>'Recycling - Case 3'!BJ123</f>
        <v>0</v>
      </c>
      <c r="K113" s="826">
        <f>'Recycling - Case 3'!BK123</f>
        <v>0.44999335059647372</v>
      </c>
      <c r="L113" s="827">
        <f t="shared" si="89"/>
        <v>1</v>
      </c>
      <c r="M113" s="4"/>
      <c r="N113" s="838">
        <f t="shared" si="56"/>
        <v>2228.8083452440806</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0.10978515663252505</v>
      </c>
      <c r="Q113" s="832">
        <f t="shared" si="57"/>
        <v>122.34503664325018</v>
      </c>
      <c r="R113" s="832">
        <f t="shared" si="58"/>
        <v>122.34503664325018</v>
      </c>
      <c r="S113" s="835">
        <f t="shared" si="59"/>
        <v>0</v>
      </c>
      <c r="T113" s="832">
        <f t="shared" si="60"/>
        <v>6320.9261280355413</v>
      </c>
      <c r="U113" s="832">
        <f t="shared" si="61"/>
        <v>317.80804853137442</v>
      </c>
      <c r="V113" s="839">
        <f t="shared" si="62"/>
        <v>211.87203235424963</v>
      </c>
      <c r="W113" s="4"/>
      <c r="X113" s="852">
        <f>'Recycling - Case 3'!AM163</f>
        <v>173.1665722403344</v>
      </c>
      <c r="Y113" s="853">
        <f>Parameters!S283</f>
        <v>0.71500000000000008</v>
      </c>
      <c r="Z113" s="853">
        <f t="shared" si="63"/>
        <v>0.4</v>
      </c>
      <c r="AA113" s="854">
        <f t="shared" si="64"/>
        <v>24.762819830367825</v>
      </c>
      <c r="AB113" s="854">
        <f t="shared" si="65"/>
        <v>24.762819830367825</v>
      </c>
      <c r="AC113" s="855">
        <f t="shared" si="66"/>
        <v>0</v>
      </c>
      <c r="AD113" s="854">
        <f t="shared" si="67"/>
        <v>3183.3709278361098</v>
      </c>
      <c r="AE113" s="854">
        <f t="shared" si="68"/>
        <v>161.94530071965332</v>
      </c>
      <c r="AF113" s="856">
        <f t="shared" si="69"/>
        <v>107.96353381310222</v>
      </c>
      <c r="AG113" s="4"/>
      <c r="AH113" s="852">
        <f>'Recycling - Case 3'!AM203</f>
        <v>173.1665722403344</v>
      </c>
      <c r="AI113" s="853">
        <f>Parameters!S283</f>
        <v>0.71500000000000008</v>
      </c>
      <c r="AJ113" s="853">
        <f t="shared" si="70"/>
        <v>0.4</v>
      </c>
      <c r="AK113" s="854">
        <f t="shared" si="71"/>
        <v>24.762819830367825</v>
      </c>
      <c r="AL113" s="854">
        <f t="shared" si="72"/>
        <v>24.762819830367825</v>
      </c>
      <c r="AM113" s="855">
        <f t="shared" si="73"/>
        <v>0</v>
      </c>
      <c r="AN113" s="854">
        <f t="shared" si="74"/>
        <v>3183.3709278361098</v>
      </c>
      <c r="AO113" s="854">
        <f t="shared" si="75"/>
        <v>161.94530071965332</v>
      </c>
      <c r="AP113" s="856">
        <f t="shared" si="76"/>
        <v>107.96353381310222</v>
      </c>
      <c r="AQ113" s="4"/>
      <c r="AR113" s="850">
        <f>'Recycling - Case 3'!G123</f>
        <v>823.45791356653592</v>
      </c>
      <c r="AS113" s="846">
        <v>1</v>
      </c>
      <c r="AT113" s="846">
        <f t="shared" si="77"/>
        <v>0.05</v>
      </c>
      <c r="AU113" s="832">
        <f t="shared" si="78"/>
        <v>20.586447839163398</v>
      </c>
      <c r="AV113" s="832">
        <f t="shared" si="79"/>
        <v>20.586447839163398</v>
      </c>
      <c r="AW113" s="835">
        <f t="shared" si="80"/>
        <v>0</v>
      </c>
      <c r="AX113" s="832">
        <f t="shared" si="44"/>
        <v>283.79097007306547</v>
      </c>
      <c r="AY113" s="832">
        <f t="shared" si="49"/>
        <v>16.275658690065825</v>
      </c>
      <c r="AZ113" s="930">
        <f t="shared" si="47"/>
        <v>10.850439126710549</v>
      </c>
      <c r="BA113" s="4"/>
      <c r="BB113" s="1055">
        <f t="shared" si="81"/>
        <v>211.87203235424963</v>
      </c>
      <c r="BC113" s="1056">
        <f t="shared" si="82"/>
        <v>107.96353381310222</v>
      </c>
      <c r="BD113" s="1082">
        <f t="shared" si="90"/>
        <v>10.850439126710549</v>
      </c>
      <c r="BE113" s="1056">
        <f t="shared" si="54"/>
        <v>330.6860052940624</v>
      </c>
      <c r="BF113" s="167">
        <v>0</v>
      </c>
      <c r="BG113" s="1075">
        <f t="shared" si="83"/>
        <v>330.6860052940624</v>
      </c>
      <c r="BI113" s="1055">
        <f t="shared" si="84"/>
        <v>211.87203235424963</v>
      </c>
      <c r="BJ113" s="1056">
        <f t="shared" si="85"/>
        <v>107.96353381310222</v>
      </c>
      <c r="BK113" s="1082">
        <f t="shared" si="86"/>
        <v>10.850439126710549</v>
      </c>
      <c r="BL113" s="1056">
        <f t="shared" si="55"/>
        <v>330.6860052940624</v>
      </c>
      <c r="BM113" s="167">
        <v>0</v>
      </c>
      <c r="BN113" s="1075">
        <f t="shared" si="87"/>
        <v>330.6860052940624</v>
      </c>
    </row>
    <row r="114" spans="1:66">
      <c r="A114" s="927">
        <f>'Input data'!A144</f>
        <v>2044</v>
      </c>
      <c r="B114" s="824">
        <f>'Input data'!B144</f>
        <v>73.165000000000006</v>
      </c>
      <c r="C114" s="824">
        <f>'Recycling - Case 3'!AK124/B114</f>
        <v>269.84681013022708</v>
      </c>
      <c r="D114" s="825">
        <f>'Recycling - Case 3'!AM124</f>
        <v>0.11288911272923233</v>
      </c>
      <c r="E114" s="826">
        <f>'Recycling - Case 3'!BE124</f>
        <v>0.21926676820857491</v>
      </c>
      <c r="F114" s="826">
        <f>'Recycling - Case 3'!BF124</f>
        <v>0.27808958177754095</v>
      </c>
      <c r="G114" s="826">
        <f>'Recycling - Case 3'!BG124</f>
        <v>5.3523943954123882E-2</v>
      </c>
      <c r="H114" s="826">
        <f>'Recycling - Case 3'!BH124</f>
        <v>0</v>
      </c>
      <c r="I114" s="826">
        <f>'Recycling - Case 3'!BI124</f>
        <v>0</v>
      </c>
      <c r="J114" s="826">
        <f>'Recycling - Case 3'!BJ124</f>
        <v>0</v>
      </c>
      <c r="K114" s="826">
        <f>'Recycling - Case 3'!BK124</f>
        <v>0.44911970605976026</v>
      </c>
      <c r="L114" s="827">
        <f t="shared" si="89"/>
        <v>1</v>
      </c>
      <c r="M114" s="4"/>
      <c r="N114" s="838">
        <f t="shared" si="56"/>
        <v>2228.8083452440806</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0.10991750916844398</v>
      </c>
      <c r="Q114" s="832">
        <f t="shared" si="57"/>
        <v>122.49253086153534</v>
      </c>
      <c r="R114" s="832">
        <f t="shared" si="58"/>
        <v>122.49253086153534</v>
      </c>
      <c r="S114" s="835">
        <f t="shared" si="59"/>
        <v>0</v>
      </c>
      <c r="T114" s="832">
        <f t="shared" si="60"/>
        <v>6135.1434539443098</v>
      </c>
      <c r="U114" s="832">
        <f t="shared" si="61"/>
        <v>308.27520495276679</v>
      </c>
      <c r="V114" s="839">
        <f t="shared" si="62"/>
        <v>205.51680330184453</v>
      </c>
      <c r="W114" s="4"/>
      <c r="X114" s="852">
        <f>'Recycling - Case 3'!AM164</f>
        <v>214.59705673375294</v>
      </c>
      <c r="Y114" s="853">
        <f>Parameters!S284</f>
        <v>0.71500000000000008</v>
      </c>
      <c r="Z114" s="853">
        <f t="shared" si="63"/>
        <v>0.4</v>
      </c>
      <c r="AA114" s="854">
        <f t="shared" si="64"/>
        <v>30.687379112926678</v>
      </c>
      <c r="AB114" s="854">
        <f t="shared" si="65"/>
        <v>30.687379112926678</v>
      </c>
      <c r="AC114" s="855">
        <f t="shared" si="66"/>
        <v>0</v>
      </c>
      <c r="AD114" s="854">
        <f t="shared" si="67"/>
        <v>3058.8034747707734</v>
      </c>
      <c r="AE114" s="854">
        <f t="shared" si="68"/>
        <v>155.25483217826306</v>
      </c>
      <c r="AF114" s="856">
        <f t="shared" si="69"/>
        <v>103.50322145217537</v>
      </c>
      <c r="AG114" s="4"/>
      <c r="AH114" s="852">
        <f>'Recycling - Case 3'!AM204</f>
        <v>214.59705673375294</v>
      </c>
      <c r="AI114" s="853">
        <f>Parameters!S284</f>
        <v>0.71500000000000008</v>
      </c>
      <c r="AJ114" s="853">
        <f t="shared" si="70"/>
        <v>0.4</v>
      </c>
      <c r="AK114" s="854">
        <f t="shared" si="71"/>
        <v>30.687379112926678</v>
      </c>
      <c r="AL114" s="854">
        <f t="shared" si="72"/>
        <v>30.687379112926678</v>
      </c>
      <c r="AM114" s="855">
        <f t="shared" si="73"/>
        <v>0</v>
      </c>
      <c r="AN114" s="854">
        <f t="shared" si="74"/>
        <v>3058.8034747707734</v>
      </c>
      <c r="AO114" s="854">
        <f t="shared" si="75"/>
        <v>155.25483217826306</v>
      </c>
      <c r="AP114" s="856">
        <f t="shared" si="76"/>
        <v>103.50322145217537</v>
      </c>
      <c r="AQ114" s="4"/>
      <c r="AR114" s="850">
        <f>'Recycling - Case 3'!G124</f>
        <v>828.56531405362932</v>
      </c>
      <c r="AS114" s="846">
        <v>1</v>
      </c>
      <c r="AT114" s="846">
        <f t="shared" si="77"/>
        <v>0.05</v>
      </c>
      <c r="AU114" s="832">
        <f t="shared" si="78"/>
        <v>20.714132851340736</v>
      </c>
      <c r="AV114" s="832">
        <f t="shared" si="79"/>
        <v>20.714132851340736</v>
      </c>
      <c r="AW114" s="835">
        <f t="shared" si="80"/>
        <v>0</v>
      </c>
      <c r="AX114" s="832">
        <f t="shared" ref="AX114:AX120" si="91">AV114+(AX113*$E$8)</f>
        <v>287.97840341762276</v>
      </c>
      <c r="AY114" s="832">
        <f t="shared" si="49"/>
        <v>16.52669950678348</v>
      </c>
      <c r="AZ114" s="930">
        <f t="shared" si="47"/>
        <v>11.017799671188987</v>
      </c>
      <c r="BA114" s="4"/>
      <c r="BB114" s="1055">
        <f t="shared" si="81"/>
        <v>205.51680330184453</v>
      </c>
      <c r="BC114" s="1056">
        <f t="shared" si="82"/>
        <v>103.50322145217537</v>
      </c>
      <c r="BD114" s="1082">
        <f t="shared" si="90"/>
        <v>11.017799671188987</v>
      </c>
      <c r="BE114" s="1056">
        <f t="shared" si="54"/>
        <v>320.0378244252089</v>
      </c>
      <c r="BF114" s="167">
        <v>0</v>
      </c>
      <c r="BG114" s="1075">
        <f t="shared" si="83"/>
        <v>320.0378244252089</v>
      </c>
      <c r="BI114" s="1055">
        <f t="shared" si="84"/>
        <v>205.51680330184453</v>
      </c>
      <c r="BJ114" s="1056">
        <f t="shared" si="85"/>
        <v>103.50322145217537</v>
      </c>
      <c r="BK114" s="1082">
        <f t="shared" si="86"/>
        <v>11.017799671188987</v>
      </c>
      <c r="BL114" s="1056">
        <f t="shared" si="55"/>
        <v>320.0378244252089</v>
      </c>
      <c r="BM114" s="167">
        <v>0</v>
      </c>
      <c r="BN114" s="1075">
        <f t="shared" si="87"/>
        <v>320.0378244252089</v>
      </c>
    </row>
    <row r="115" spans="1:66">
      <c r="A115" s="927">
        <f>'Input data'!A145</f>
        <v>2045</v>
      </c>
      <c r="B115" s="824">
        <f>'Input data'!B145</f>
        <v>73.62</v>
      </c>
      <c r="C115" s="824">
        <f>'Recycling - Case 3'!AK125/B115</f>
        <v>269.01874251575049</v>
      </c>
      <c r="D115" s="825">
        <f>'Recycling - Case 3'!AM125</f>
        <v>0.11253675128347733</v>
      </c>
      <c r="E115" s="826">
        <f>'Recycling - Case 3'!BE125</f>
        <v>0.21969463810444262</v>
      </c>
      <c r="F115" s="826">
        <f>'Recycling - Case 3'!BF125</f>
        <v>0.27863223655997388</v>
      </c>
      <c r="G115" s="826">
        <f>'Recycling - Case 3'!BG125</f>
        <v>5.3420597759486765E-2</v>
      </c>
      <c r="H115" s="826">
        <f>'Recycling - Case 3'!BH125</f>
        <v>0</v>
      </c>
      <c r="I115" s="826">
        <f>'Recycling - Case 3'!BI125</f>
        <v>0</v>
      </c>
      <c r="J115" s="826">
        <f>'Recycling - Case 3'!BJ125</f>
        <v>0</v>
      </c>
      <c r="K115" s="826">
        <f>'Recycling - Case 3'!BK125</f>
        <v>0.44825252757609702</v>
      </c>
      <c r="L115" s="827">
        <f t="shared" si="89"/>
        <v>1.0000000000000004</v>
      </c>
      <c r="M115" s="4"/>
      <c r="N115" s="838">
        <f t="shared" si="56"/>
        <v>2228.8083452440806</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0.11004888213145587</v>
      </c>
      <c r="Q115" s="832">
        <f t="shared" si="57"/>
        <v>122.63893343968552</v>
      </c>
      <c r="R115" s="832">
        <f t="shared" si="58"/>
        <v>122.63893343968552</v>
      </c>
      <c r="S115" s="835">
        <f t="shared" si="59"/>
        <v>0</v>
      </c>
      <c r="T115" s="832">
        <f t="shared" si="60"/>
        <v>5958.5679103644543</v>
      </c>
      <c r="U115" s="832">
        <f t="shared" si="61"/>
        <v>299.21447701954116</v>
      </c>
      <c r="V115" s="839">
        <f t="shared" si="62"/>
        <v>199.47631801302745</v>
      </c>
      <c r="W115" s="4"/>
      <c r="X115" s="852">
        <f>'Recycling - Case 3'!AM165</f>
        <v>256.95833153497551</v>
      </c>
      <c r="Y115" s="853">
        <f>Parameters!S285</f>
        <v>0.71500000000000008</v>
      </c>
      <c r="Z115" s="853">
        <f t="shared" si="63"/>
        <v>0.4</v>
      </c>
      <c r="AA115" s="854">
        <f t="shared" si="64"/>
        <v>36.745041409501503</v>
      </c>
      <c r="AB115" s="854">
        <f t="shared" si="65"/>
        <v>36.745041409501503</v>
      </c>
      <c r="AC115" s="855">
        <f t="shared" si="66"/>
        <v>0</v>
      </c>
      <c r="AD115" s="854">
        <f t="shared" si="67"/>
        <v>2946.3689103764887</v>
      </c>
      <c r="AE115" s="854">
        <f t="shared" si="68"/>
        <v>149.1796058037863</v>
      </c>
      <c r="AF115" s="856">
        <f t="shared" si="69"/>
        <v>99.453070535857535</v>
      </c>
      <c r="AG115" s="4"/>
      <c r="AH115" s="852">
        <f>'Recycling - Case 3'!AM205</f>
        <v>256.95833153497551</v>
      </c>
      <c r="AI115" s="853">
        <f>Parameters!S285</f>
        <v>0.71500000000000008</v>
      </c>
      <c r="AJ115" s="853">
        <f t="shared" si="70"/>
        <v>0.4</v>
      </c>
      <c r="AK115" s="854">
        <f t="shared" si="71"/>
        <v>36.745041409501503</v>
      </c>
      <c r="AL115" s="854">
        <f t="shared" si="72"/>
        <v>36.745041409501503</v>
      </c>
      <c r="AM115" s="855">
        <f t="shared" si="73"/>
        <v>0</v>
      </c>
      <c r="AN115" s="854">
        <f t="shared" si="74"/>
        <v>2946.3689103764887</v>
      </c>
      <c r="AO115" s="854">
        <f t="shared" si="75"/>
        <v>149.1796058037863</v>
      </c>
      <c r="AP115" s="856">
        <f t="shared" si="76"/>
        <v>99.453070535857535</v>
      </c>
      <c r="AQ115" s="4"/>
      <c r="AR115" s="850">
        <f>'Recycling - Case 3'!G125</f>
        <v>833.71801299293634</v>
      </c>
      <c r="AS115" s="846">
        <v>1</v>
      </c>
      <c r="AT115" s="846">
        <f t="shared" si="77"/>
        <v>0.05</v>
      </c>
      <c r="AU115" s="832">
        <f t="shared" si="78"/>
        <v>20.842950324823409</v>
      </c>
      <c r="AV115" s="832">
        <f t="shared" si="79"/>
        <v>20.842950324823409</v>
      </c>
      <c r="AW115" s="835">
        <f t="shared" si="80"/>
        <v>0</v>
      </c>
      <c r="AX115" s="832">
        <f t="shared" si="91"/>
        <v>292.0507971017575</v>
      </c>
      <c r="AY115" s="832">
        <f t="shared" si="49"/>
        <v>16.770556640688643</v>
      </c>
      <c r="AZ115" s="930">
        <f t="shared" si="47"/>
        <v>11.180371093792429</v>
      </c>
      <c r="BA115" s="4"/>
      <c r="BB115" s="1055">
        <f t="shared" si="81"/>
        <v>199.47631801302745</v>
      </c>
      <c r="BC115" s="1056">
        <f t="shared" si="82"/>
        <v>99.453070535857535</v>
      </c>
      <c r="BD115" s="1082">
        <f t="shared" si="90"/>
        <v>11.180371093792429</v>
      </c>
      <c r="BE115" s="1056">
        <f t="shared" si="54"/>
        <v>310.10975964267737</v>
      </c>
      <c r="BF115" s="167">
        <v>0</v>
      </c>
      <c r="BG115" s="1075">
        <f t="shared" si="83"/>
        <v>310.10975964267737</v>
      </c>
      <c r="BI115" s="1055">
        <f t="shared" si="84"/>
        <v>199.47631801302745</v>
      </c>
      <c r="BJ115" s="1056">
        <f t="shared" si="85"/>
        <v>99.453070535857535</v>
      </c>
      <c r="BK115" s="1082">
        <f t="shared" si="86"/>
        <v>11.180371093792429</v>
      </c>
      <c r="BL115" s="1056">
        <f t="shared" si="55"/>
        <v>310.10975964267737</v>
      </c>
      <c r="BM115" s="167">
        <v>0</v>
      </c>
      <c r="BN115" s="1075">
        <f t="shared" si="87"/>
        <v>310.10975964267737</v>
      </c>
    </row>
    <row r="116" spans="1:66">
      <c r="A116" s="927">
        <f>'Input data'!A146</f>
        <v>2046</v>
      </c>
      <c r="B116" s="824">
        <f>'Input data'!B146</f>
        <v>73.995000000000005</v>
      </c>
      <c r="C116" s="824">
        <f>'Recycling - Case 3'!AK126/B116</f>
        <v>268.34419820240032</v>
      </c>
      <c r="D116" s="825">
        <f>'Recycling - Case 3'!AM126</f>
        <v>0.11224787829022306</v>
      </c>
      <c r="E116" s="826">
        <f>'Recycling - Case 3'!BE126</f>
        <v>0.22004210258441578</v>
      </c>
      <c r="F116" s="826">
        <f>'Recycling - Case 3'!BF126</f>
        <v>0.2790729155224439</v>
      </c>
      <c r="G116" s="826">
        <f>'Recycling - Case 3'!BG126</f>
        <v>5.3336672407122365E-2</v>
      </c>
      <c r="H116" s="826">
        <f>'Recycling - Case 3'!BH126</f>
        <v>0</v>
      </c>
      <c r="I116" s="826">
        <f>'Recycling - Case 3'!BI126</f>
        <v>0</v>
      </c>
      <c r="J116" s="826">
        <f>'Recycling - Case 3'!BJ126</f>
        <v>0</v>
      </c>
      <c r="K116" s="826">
        <f>'Recycling - Case 3'!BK126</f>
        <v>0.44754830948601804</v>
      </c>
      <c r="L116" s="827">
        <f t="shared" si="89"/>
        <v>1</v>
      </c>
      <c r="M116" s="4"/>
      <c r="N116" s="838">
        <f t="shared" si="56"/>
        <v>2228.8083452440806</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0.1101555674550001</v>
      </c>
      <c r="Q116" s="832">
        <f t="shared" si="57"/>
        <v>122.75782400940074</v>
      </c>
      <c r="R116" s="832">
        <f t="shared" si="58"/>
        <v>122.75782400940074</v>
      </c>
      <c r="S116" s="835">
        <f t="shared" si="59"/>
        <v>0</v>
      </c>
      <c r="T116" s="832">
        <f>R116+(T115*$C$8)</f>
        <v>5790.7229482338025</v>
      </c>
      <c r="U116" s="832">
        <f t="shared" si="61"/>
        <v>290.60278614005233</v>
      </c>
      <c r="V116" s="839">
        <f t="shared" si="62"/>
        <v>193.7351907600349</v>
      </c>
      <c r="W116" s="4"/>
      <c r="X116" s="852">
        <f>'Recycling - Case 3'!AM166</f>
        <v>300.1963968535166</v>
      </c>
      <c r="Y116" s="853">
        <f>Parameters!S286</f>
        <v>0.71500000000000008</v>
      </c>
      <c r="Z116" s="853">
        <f t="shared" si="63"/>
        <v>0.4</v>
      </c>
      <c r="AA116" s="854">
        <f t="shared" si="64"/>
        <v>42.928084750052882</v>
      </c>
      <c r="AB116" s="854">
        <f t="shared" si="65"/>
        <v>42.928084750052882</v>
      </c>
      <c r="AC116" s="855">
        <f t="shared" si="66"/>
        <v>0</v>
      </c>
      <c r="AD116" s="854">
        <f t="shared" si="67"/>
        <v>2845.6008877342756</v>
      </c>
      <c r="AE116" s="854">
        <f t="shared" si="68"/>
        <v>143.69610739226553</v>
      </c>
      <c r="AF116" s="856">
        <f t="shared" si="69"/>
        <v>95.797404928177016</v>
      </c>
      <c r="AG116" s="4"/>
      <c r="AH116" s="852">
        <f>'Recycling - Case 3'!AM206</f>
        <v>300.1963968535166</v>
      </c>
      <c r="AI116" s="853">
        <f>Parameters!S286</f>
        <v>0.71500000000000008</v>
      </c>
      <c r="AJ116" s="853">
        <f t="shared" si="70"/>
        <v>0.4</v>
      </c>
      <c r="AK116" s="854">
        <f t="shared" si="71"/>
        <v>42.928084750052882</v>
      </c>
      <c r="AL116" s="854">
        <f t="shared" si="72"/>
        <v>42.928084750052882</v>
      </c>
      <c r="AM116" s="855">
        <f t="shared" si="73"/>
        <v>0</v>
      </c>
      <c r="AN116" s="854">
        <f t="shared" si="74"/>
        <v>2845.6008877342756</v>
      </c>
      <c r="AO116" s="854">
        <f t="shared" si="75"/>
        <v>143.69610739226553</v>
      </c>
      <c r="AP116" s="856">
        <f t="shared" si="76"/>
        <v>95.797404928177016</v>
      </c>
      <c r="AQ116" s="4"/>
      <c r="AR116" s="850">
        <f>'Recycling - Case 3'!G126</f>
        <v>837.96474288796969</v>
      </c>
      <c r="AS116" s="846">
        <v>1</v>
      </c>
      <c r="AT116" s="846">
        <f t="shared" si="77"/>
        <v>0.05</v>
      </c>
      <c r="AU116" s="832">
        <f t="shared" si="78"/>
        <v>20.949118572199243</v>
      </c>
      <c r="AV116" s="832">
        <f t="shared" si="79"/>
        <v>20.949118572199243</v>
      </c>
      <c r="AW116" s="835">
        <f t="shared" si="80"/>
        <v>0</v>
      </c>
      <c r="AX116" s="832">
        <f t="shared" si="91"/>
        <v>295.99220128764398</v>
      </c>
      <c r="AY116" s="832">
        <f t="shared" si="49"/>
        <v>17.007714386312792</v>
      </c>
      <c r="AZ116" s="930">
        <f t="shared" si="47"/>
        <v>11.338476257541862</v>
      </c>
      <c r="BA116" s="4"/>
      <c r="BB116" s="1055">
        <f t="shared" si="81"/>
        <v>193.7351907600349</v>
      </c>
      <c r="BC116" s="1056">
        <f t="shared" si="82"/>
        <v>95.797404928177016</v>
      </c>
      <c r="BD116" s="1082">
        <f t="shared" si="90"/>
        <v>11.338476257541862</v>
      </c>
      <c r="BE116" s="1056">
        <f t="shared" si="54"/>
        <v>300.87107194575378</v>
      </c>
      <c r="BF116" s="167">
        <v>0</v>
      </c>
      <c r="BG116" s="1075">
        <f t="shared" si="83"/>
        <v>300.87107194575378</v>
      </c>
      <c r="BI116" s="1055">
        <f t="shared" si="84"/>
        <v>193.7351907600349</v>
      </c>
      <c r="BJ116" s="1056">
        <f t="shared" si="85"/>
        <v>95.797404928177016</v>
      </c>
      <c r="BK116" s="1082">
        <f t="shared" si="86"/>
        <v>11.338476257541862</v>
      </c>
      <c r="BL116" s="1056">
        <f t="shared" si="55"/>
        <v>300.87107194575378</v>
      </c>
      <c r="BM116" s="167">
        <v>0</v>
      </c>
      <c r="BN116" s="1075">
        <f t="shared" si="87"/>
        <v>300.87107194575378</v>
      </c>
    </row>
    <row r="117" spans="1:66">
      <c r="A117" s="927">
        <f>'Input data'!A147</f>
        <v>2047</v>
      </c>
      <c r="B117" s="824">
        <f>'Input data'!B147</f>
        <v>74.373000000000005</v>
      </c>
      <c r="C117" s="824">
        <f>'Recycling - Case 3'!AK127/B117</f>
        <v>267.67138543810051</v>
      </c>
      <c r="D117" s="825">
        <f>'Recycling - Case 3'!AM127</f>
        <v>0.1119580893602294</v>
      </c>
      <c r="E117" s="826">
        <f>'Recycling - Case 3'!BE127</f>
        <v>0.22038771424144413</v>
      </c>
      <c r="F117" s="826">
        <f>'Recycling - Case 3'!BF127</f>
        <v>0.27951124460416327</v>
      </c>
      <c r="G117" s="826">
        <f>'Recycling - Case 3'!BG127</f>
        <v>5.3253194579116508E-2</v>
      </c>
      <c r="H117" s="826">
        <f>'Recycling - Case 3'!BH127</f>
        <v>0</v>
      </c>
      <c r="I117" s="826">
        <f>'Recycling - Case 3'!BI127</f>
        <v>0</v>
      </c>
      <c r="J117" s="826">
        <f>'Recycling - Case 3'!BJ127</f>
        <v>0</v>
      </c>
      <c r="K117" s="826">
        <f>'Recycling - Case 3'!BK127</f>
        <v>0.4468478465752761</v>
      </c>
      <c r="L117" s="827">
        <f t="shared" si="89"/>
        <v>1</v>
      </c>
      <c r="M117" s="4"/>
      <c r="N117" s="838">
        <f t="shared" si="56"/>
        <v>2228.8083452440801</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0.11026168388869588</v>
      </c>
      <c r="Q117" s="832">
        <f t="shared" si="57"/>
        <v>122.87608060589505</v>
      </c>
      <c r="R117" s="832">
        <f t="shared" si="58"/>
        <v>122.87608060589505</v>
      </c>
      <c r="S117" s="835">
        <f t="shared" si="59"/>
        <v>0</v>
      </c>
      <c r="T117" s="832">
        <f t="shared" ref="T117:T120" si="92">R117+(T116*$C$8)</f>
        <v>5631.1821380974134</v>
      </c>
      <c r="U117" s="832">
        <f t="shared" si="61"/>
        <v>282.41689074228458</v>
      </c>
      <c r="V117" s="839">
        <f t="shared" si="62"/>
        <v>188.27792716152305</v>
      </c>
      <c r="W117" s="4"/>
      <c r="X117" s="852">
        <f>'Recycling - Case 3'!AM167</f>
        <v>344.27650016464906</v>
      </c>
      <c r="Y117" s="853">
        <f>Parameters!S287</f>
        <v>0.71500000000000008</v>
      </c>
      <c r="Z117" s="853">
        <f t="shared" si="63"/>
        <v>0.4</v>
      </c>
      <c r="AA117" s="854">
        <f t="shared" si="64"/>
        <v>49.231539523544825</v>
      </c>
      <c r="AB117" s="854">
        <f t="shared" si="65"/>
        <v>49.231539523544825</v>
      </c>
      <c r="AC117" s="855">
        <f t="shared" si="66"/>
        <v>0</v>
      </c>
      <c r="AD117" s="854">
        <f t="shared" si="67"/>
        <v>2756.0508343217407</v>
      </c>
      <c r="AE117" s="854">
        <f t="shared" si="68"/>
        <v>138.7815929360797</v>
      </c>
      <c r="AF117" s="856">
        <f t="shared" si="69"/>
        <v>92.521061957386465</v>
      </c>
      <c r="AG117" s="4"/>
      <c r="AH117" s="852">
        <f>'Recycling - Case 3'!AM207</f>
        <v>344.27650016464906</v>
      </c>
      <c r="AI117" s="853">
        <f>Parameters!S287</f>
        <v>0.71500000000000008</v>
      </c>
      <c r="AJ117" s="853">
        <f t="shared" si="70"/>
        <v>0.4</v>
      </c>
      <c r="AK117" s="854">
        <f t="shared" si="71"/>
        <v>49.231539523544825</v>
      </c>
      <c r="AL117" s="854">
        <f t="shared" si="72"/>
        <v>49.231539523544825</v>
      </c>
      <c r="AM117" s="855">
        <f t="shared" si="73"/>
        <v>0</v>
      </c>
      <c r="AN117" s="854">
        <f t="shared" si="74"/>
        <v>2756.0508343217407</v>
      </c>
      <c r="AO117" s="854">
        <f t="shared" si="75"/>
        <v>138.7815929360797</v>
      </c>
      <c r="AP117" s="856">
        <f t="shared" si="76"/>
        <v>92.521061957386465</v>
      </c>
      <c r="AQ117" s="4"/>
      <c r="AR117" s="850">
        <f>'Recycling - Case 3'!G127</f>
        <v>842.24544662216317</v>
      </c>
      <c r="AS117" s="846">
        <v>1</v>
      </c>
      <c r="AT117" s="846">
        <f t="shared" si="77"/>
        <v>0.05</v>
      </c>
      <c r="AU117" s="832">
        <f t="shared" si="78"/>
        <v>21.056136165554079</v>
      </c>
      <c r="AV117" s="832">
        <f t="shared" si="79"/>
        <v>21.056136165554079</v>
      </c>
      <c r="AW117" s="835">
        <f t="shared" si="80"/>
        <v>0</v>
      </c>
      <c r="AX117" s="832">
        <f t="shared" si="91"/>
        <v>299.81109355578712</v>
      </c>
      <c r="AY117" s="832">
        <f t="shared" si="49"/>
        <v>17.237243897410885</v>
      </c>
      <c r="AZ117" s="930">
        <f t="shared" si="47"/>
        <v>11.491495931607256</v>
      </c>
      <c r="BA117" s="4"/>
      <c r="BB117" s="1055">
        <f t="shared" si="81"/>
        <v>188.27792716152305</v>
      </c>
      <c r="BC117" s="1056">
        <f t="shared" si="82"/>
        <v>92.521061957386465</v>
      </c>
      <c r="BD117" s="1082">
        <f t="shared" si="90"/>
        <v>11.491495931607256</v>
      </c>
      <c r="BE117" s="1056">
        <f t="shared" si="54"/>
        <v>292.29048505051674</v>
      </c>
      <c r="BF117" s="167">
        <v>0</v>
      </c>
      <c r="BG117" s="1075">
        <f t="shared" si="83"/>
        <v>292.29048505051674</v>
      </c>
      <c r="BI117" s="1055">
        <f t="shared" si="84"/>
        <v>188.27792716152305</v>
      </c>
      <c r="BJ117" s="1056">
        <f t="shared" si="85"/>
        <v>92.521061957386465</v>
      </c>
      <c r="BK117" s="1082">
        <f t="shared" si="86"/>
        <v>11.491495931607256</v>
      </c>
      <c r="BL117" s="1056">
        <f t="shared" si="55"/>
        <v>292.29048505051674</v>
      </c>
      <c r="BM117" s="167">
        <v>0</v>
      </c>
      <c r="BN117" s="1075">
        <f t="shared" si="87"/>
        <v>292.29048505051674</v>
      </c>
    </row>
    <row r="118" spans="1:66">
      <c r="A118" s="927">
        <f>'Input data'!A148</f>
        <v>2048</v>
      </c>
      <c r="B118" s="824">
        <f>'Input data'!B148</f>
        <v>74.753</v>
      </c>
      <c r="C118" s="824">
        <f>'Recycling - Case 3'!AK128/B118</f>
        <v>267.00211183664806</v>
      </c>
      <c r="D118" s="825">
        <f>'Recycling - Case 3'!AM128</f>
        <v>0.11166817082749433</v>
      </c>
      <c r="E118" s="826">
        <f>'Recycling - Case 3'!BE128</f>
        <v>0.22073055923719342</v>
      </c>
      <c r="F118" s="826">
        <f>'Recycling - Case 3'!BF128</f>
        <v>0.27994606481089784</v>
      </c>
      <c r="G118" s="826">
        <f>'Recycling - Case 3'!BG128</f>
        <v>5.3170385000776733E-2</v>
      </c>
      <c r="H118" s="826">
        <f>'Recycling - Case 3'!BH128</f>
        <v>0</v>
      </c>
      <c r="I118" s="826">
        <f>'Recycling - Case 3'!BI128</f>
        <v>0</v>
      </c>
      <c r="J118" s="826">
        <f>'Recycling - Case 3'!BJ128</f>
        <v>0</v>
      </c>
      <c r="K118" s="826">
        <f>'Recycling - Case 3'!BK128</f>
        <v>0.44615299095113192</v>
      </c>
      <c r="L118" s="827">
        <f t="shared" si="89"/>
        <v>1</v>
      </c>
      <c r="M118" s="4"/>
      <c r="N118" s="838">
        <f t="shared" si="56"/>
        <v>2228.8083452440806</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0.11036695084806927</v>
      </c>
      <c r="Q118" s="832">
        <f t="shared" si="57"/>
        <v>122.99339054466003</v>
      </c>
      <c r="R118" s="832">
        <f t="shared" si="58"/>
        <v>122.99339054466003</v>
      </c>
      <c r="S118" s="835">
        <f t="shared" si="59"/>
        <v>0</v>
      </c>
      <c r="T118" s="832">
        <f t="shared" si="92"/>
        <v>5479.5395350257622</v>
      </c>
      <c r="U118" s="832">
        <f t="shared" si="61"/>
        <v>274.6359936163106</v>
      </c>
      <c r="V118" s="839">
        <f t="shared" si="62"/>
        <v>183.09066241087373</v>
      </c>
      <c r="W118" s="4"/>
      <c r="X118" s="852">
        <f>'Recycling - Case 3'!AM168</f>
        <v>389.02766929548244</v>
      </c>
      <c r="Y118" s="853">
        <f>Parameters!S288</f>
        <v>0.71500000000000008</v>
      </c>
      <c r="Z118" s="853">
        <f t="shared" si="63"/>
        <v>0.4</v>
      </c>
      <c r="AA118" s="854">
        <f t="shared" si="64"/>
        <v>55.630956709254001</v>
      </c>
      <c r="AB118" s="854">
        <f t="shared" si="65"/>
        <v>55.630956709254001</v>
      </c>
      <c r="AC118" s="855">
        <f t="shared" si="66"/>
        <v>0</v>
      </c>
      <c r="AD118" s="854">
        <f t="shared" si="67"/>
        <v>2677.2676057358362</v>
      </c>
      <c r="AE118" s="854">
        <f t="shared" si="68"/>
        <v>134.41418529515857</v>
      </c>
      <c r="AF118" s="856">
        <f t="shared" si="69"/>
        <v>89.60945686343905</v>
      </c>
      <c r="AG118" s="4"/>
      <c r="AH118" s="852">
        <f>'Recycling - Case 3'!AM208</f>
        <v>389.02766929548244</v>
      </c>
      <c r="AI118" s="853">
        <f>Parameters!S288</f>
        <v>0.71500000000000008</v>
      </c>
      <c r="AJ118" s="853">
        <f t="shared" si="70"/>
        <v>0.4</v>
      </c>
      <c r="AK118" s="854">
        <f t="shared" si="71"/>
        <v>55.630956709254001</v>
      </c>
      <c r="AL118" s="854">
        <f t="shared" si="72"/>
        <v>55.630956709254001</v>
      </c>
      <c r="AM118" s="855">
        <f t="shared" si="73"/>
        <v>0</v>
      </c>
      <c r="AN118" s="854">
        <f t="shared" si="74"/>
        <v>2677.2676057358362</v>
      </c>
      <c r="AO118" s="854">
        <f t="shared" si="75"/>
        <v>134.41418529515857</v>
      </c>
      <c r="AP118" s="856">
        <f t="shared" si="76"/>
        <v>89.60945686343905</v>
      </c>
      <c r="AQ118" s="4"/>
      <c r="AR118" s="850">
        <f>'Recycling - Case 3'!G128</f>
        <v>846.54879958246352</v>
      </c>
      <c r="AS118" s="846">
        <v>1</v>
      </c>
      <c r="AT118" s="846">
        <f t="shared" si="77"/>
        <v>0.05</v>
      </c>
      <c r="AU118" s="832">
        <f t="shared" si="78"/>
        <v>21.163719989561589</v>
      </c>
      <c r="AV118" s="832">
        <f t="shared" si="79"/>
        <v>21.163719989561589</v>
      </c>
      <c r="AW118" s="835">
        <f t="shared" si="80"/>
        <v>0</v>
      </c>
      <c r="AX118" s="832">
        <f t="shared" si="91"/>
        <v>303.51517467551099</v>
      </c>
      <c r="AY118" s="832">
        <f t="shared" si="49"/>
        <v>17.459638869837708</v>
      </c>
      <c r="AZ118" s="930">
        <f t="shared" si="47"/>
        <v>11.639759246558471</v>
      </c>
      <c r="BA118" s="4"/>
      <c r="BB118" s="1055">
        <f t="shared" si="81"/>
        <v>183.09066241087373</v>
      </c>
      <c r="BC118" s="1056">
        <f t="shared" si="82"/>
        <v>89.60945686343905</v>
      </c>
      <c r="BD118" s="1082">
        <f t="shared" si="90"/>
        <v>11.639759246558471</v>
      </c>
      <c r="BE118" s="1056">
        <f t="shared" si="54"/>
        <v>284.33987852087125</v>
      </c>
      <c r="BF118" s="167">
        <v>0</v>
      </c>
      <c r="BG118" s="1075">
        <f t="shared" si="83"/>
        <v>284.33987852087125</v>
      </c>
      <c r="BI118" s="1055">
        <f t="shared" si="84"/>
        <v>183.09066241087373</v>
      </c>
      <c r="BJ118" s="1056">
        <f t="shared" si="85"/>
        <v>89.60945686343905</v>
      </c>
      <c r="BK118" s="1082">
        <f t="shared" si="86"/>
        <v>11.639759246558471</v>
      </c>
      <c r="BL118" s="1056">
        <f t="shared" si="55"/>
        <v>284.33987852087125</v>
      </c>
      <c r="BM118" s="167">
        <v>0</v>
      </c>
      <c r="BN118" s="1075">
        <f t="shared" si="87"/>
        <v>284.33987852087125</v>
      </c>
    </row>
    <row r="119" spans="1:66">
      <c r="A119" s="927">
        <f>'Input data'!A149</f>
        <v>2049</v>
      </c>
      <c r="B119" s="824">
        <f>'Input data'!B149</f>
        <v>75.134</v>
      </c>
      <c r="C119" s="824">
        <f>'Recycling - Case 3'!AK129/B119</f>
        <v>266.33810977473274</v>
      </c>
      <c r="D119" s="825">
        <f>'Recycling - Case 3'!AM129</f>
        <v>0.11137889412383613</v>
      </c>
      <c r="E119" s="826">
        <f>'Recycling - Case 3'!BE129</f>
        <v>0.22106977215732077</v>
      </c>
      <c r="F119" s="826">
        <f>'Recycling - Case 3'!BF129</f>
        <v>0.28037627856313407</v>
      </c>
      <c r="G119" s="826">
        <f>'Recycling - Case 3'!BG129</f>
        <v>5.3088452701249497E-2</v>
      </c>
      <c r="H119" s="826">
        <f>'Recycling - Case 3'!BH129</f>
        <v>0</v>
      </c>
      <c r="I119" s="826">
        <f>'Recycling - Case 3'!BI129</f>
        <v>0</v>
      </c>
      <c r="J119" s="826">
        <f>'Recycling - Case 3'!BJ129</f>
        <v>0</v>
      </c>
      <c r="K119" s="826">
        <f>'Recycling - Case 3'!BK129</f>
        <v>0.44546549657829565</v>
      </c>
      <c r="L119" s="827">
        <f t="shared" si="89"/>
        <v>1</v>
      </c>
      <c r="M119" s="4"/>
      <c r="N119" s="838">
        <f t="shared" si="56"/>
        <v>2228.8083452440806</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0.11047110261672473</v>
      </c>
      <c r="Q119" s="832">
        <f t="shared" si="57"/>
        <v>123.10945771023563</v>
      </c>
      <c r="R119" s="832">
        <f t="shared" si="58"/>
        <v>123.10945771023563</v>
      </c>
      <c r="S119" s="835">
        <f t="shared" si="59"/>
        <v>0</v>
      </c>
      <c r="T119" s="832">
        <f t="shared" si="92"/>
        <v>5335.4086961417015</v>
      </c>
      <c r="U119" s="832">
        <f t="shared" si="61"/>
        <v>267.24029659429635</v>
      </c>
      <c r="V119" s="839">
        <f t="shared" si="62"/>
        <v>178.16019772953089</v>
      </c>
      <c r="W119" s="4"/>
      <c r="X119" s="852">
        <f>'Recycling - Case 3'!AM169</f>
        <v>434.54908949682107</v>
      </c>
      <c r="Y119" s="853">
        <f>Parameters!S289</f>
        <v>0.71500000000000008</v>
      </c>
      <c r="Z119" s="853">
        <f t="shared" si="63"/>
        <v>0.4</v>
      </c>
      <c r="AA119" s="854">
        <f t="shared" si="64"/>
        <v>62.140519798045418</v>
      </c>
      <c r="AB119" s="854">
        <f t="shared" si="65"/>
        <v>62.140519798045418</v>
      </c>
      <c r="AC119" s="855">
        <f t="shared" si="66"/>
        <v>0</v>
      </c>
      <c r="AD119" s="854">
        <f t="shared" si="67"/>
        <v>2608.8362436365492</v>
      </c>
      <c r="AE119" s="854">
        <f t="shared" si="68"/>
        <v>130.57188189733222</v>
      </c>
      <c r="AF119" s="856">
        <f t="shared" si="69"/>
        <v>87.047921264888146</v>
      </c>
      <c r="AG119" s="4"/>
      <c r="AH119" s="852">
        <f>'Recycling - Case 3'!AM209</f>
        <v>434.54908949682107</v>
      </c>
      <c r="AI119" s="853">
        <f>Parameters!S289</f>
        <v>0.71500000000000008</v>
      </c>
      <c r="AJ119" s="853">
        <f t="shared" si="70"/>
        <v>0.4</v>
      </c>
      <c r="AK119" s="854">
        <f t="shared" si="71"/>
        <v>62.140519798045418</v>
      </c>
      <c r="AL119" s="854">
        <f t="shared" si="72"/>
        <v>62.140519798045418</v>
      </c>
      <c r="AM119" s="855">
        <f t="shared" si="73"/>
        <v>0</v>
      </c>
      <c r="AN119" s="854">
        <f t="shared" si="74"/>
        <v>2608.8362436365492</v>
      </c>
      <c r="AO119" s="854">
        <f t="shared" si="75"/>
        <v>130.57188189733222</v>
      </c>
      <c r="AP119" s="856">
        <f t="shared" si="76"/>
        <v>87.047921264888146</v>
      </c>
      <c r="AQ119" s="4"/>
      <c r="AR119" s="850">
        <f>'Recycling - Case 3'!G129</f>
        <v>850.86347715581735</v>
      </c>
      <c r="AS119" s="846">
        <v>1</v>
      </c>
      <c r="AT119" s="846">
        <f t="shared" si="77"/>
        <v>0.05</v>
      </c>
      <c r="AU119" s="832">
        <f t="shared" si="78"/>
        <v>21.271586928895434</v>
      </c>
      <c r="AV119" s="832">
        <f t="shared" si="79"/>
        <v>21.271586928895434</v>
      </c>
      <c r="AW119" s="835">
        <f t="shared" si="80"/>
        <v>0</v>
      </c>
      <c r="AX119" s="832">
        <f t="shared" si="91"/>
        <v>307.11141384291983</v>
      </c>
      <c r="AY119" s="832">
        <f t="shared" si="49"/>
        <v>17.675347761486602</v>
      </c>
      <c r="AZ119" s="930">
        <f t="shared" si="47"/>
        <v>11.783565174324401</v>
      </c>
      <c r="BA119" s="4"/>
      <c r="BB119" s="1055">
        <f t="shared" si="81"/>
        <v>178.16019772953089</v>
      </c>
      <c r="BC119" s="1056">
        <f t="shared" si="82"/>
        <v>87.047921264888146</v>
      </c>
      <c r="BD119" s="1082">
        <f t="shared" si="90"/>
        <v>11.783565174324401</v>
      </c>
      <c r="BE119" s="1056">
        <f t="shared" si="54"/>
        <v>276.9916841687434</v>
      </c>
      <c r="BF119" s="167">
        <v>0</v>
      </c>
      <c r="BG119" s="1075">
        <f t="shared" si="83"/>
        <v>276.9916841687434</v>
      </c>
      <c r="BI119" s="1055">
        <f t="shared" si="84"/>
        <v>178.16019772953089</v>
      </c>
      <c r="BJ119" s="1056">
        <f t="shared" si="85"/>
        <v>87.047921264888146</v>
      </c>
      <c r="BK119" s="1082">
        <f t="shared" si="86"/>
        <v>11.783565174324401</v>
      </c>
      <c r="BL119" s="1056">
        <f t="shared" si="55"/>
        <v>276.9916841687434</v>
      </c>
      <c r="BM119" s="167">
        <v>0</v>
      </c>
      <c r="BN119" s="1075">
        <f t="shared" si="87"/>
        <v>276.9916841687434</v>
      </c>
    </row>
    <row r="120" spans="1:66" ht="15" thickBot="1">
      <c r="A120" s="928">
        <f>'Input data'!A150</f>
        <v>2050</v>
      </c>
      <c r="B120" s="828">
        <f>'Input data'!B150</f>
        <v>75.518000000000001</v>
      </c>
      <c r="C120" s="828">
        <f>'Recycling - Case 3'!AK130/B120</f>
        <v>265.67589204067707</v>
      </c>
      <c r="D120" s="829">
        <f>'Recycling - Case 3'!AM130</f>
        <v>0.11108875461656312</v>
      </c>
      <c r="E120" s="830">
        <f>'Recycling - Case 3'!BE130</f>
        <v>0.22140715259592259</v>
      </c>
      <c r="F120" s="830">
        <f>'Recycling - Case 3'!BF130</f>
        <v>0.28080416823304288</v>
      </c>
      <c r="G120" s="830">
        <f>'Recycling - Case 3'!BG130</f>
        <v>5.3006963012885683E-2</v>
      </c>
      <c r="H120" s="830">
        <f>'Recycling - Case 3'!BH130</f>
        <v>0</v>
      </c>
      <c r="I120" s="830">
        <f>'Recycling - Case 3'!BI130</f>
        <v>0</v>
      </c>
      <c r="J120" s="830">
        <f>'Recycling - Case 3'!BJ130</f>
        <v>0</v>
      </c>
      <c r="K120" s="830">
        <f>'Recycling - Case 3'!BK130</f>
        <v>0.44478171615814888</v>
      </c>
      <c r="L120" s="831">
        <f t="shared" si="89"/>
        <v>1</v>
      </c>
      <c r="M120" s="4"/>
      <c r="N120" s="840">
        <f t="shared" si="56"/>
        <v>2228.8083452440806</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0.11057469174115124</v>
      </c>
      <c r="Q120" s="843">
        <f t="shared" si="57"/>
        <v>123.22489786273479</v>
      </c>
      <c r="R120" s="843">
        <f t="shared" si="58"/>
        <v>123.22489786273479</v>
      </c>
      <c r="S120" s="844">
        <f t="shared" si="59"/>
        <v>0</v>
      </c>
      <c r="T120" s="843">
        <f t="shared" si="92"/>
        <v>5198.4226413697106</v>
      </c>
      <c r="U120" s="843">
        <f t="shared" si="61"/>
        <v>260.21095263472586</v>
      </c>
      <c r="V120" s="845">
        <f t="shared" si="62"/>
        <v>173.47396842315058</v>
      </c>
      <c r="W120" s="4"/>
      <c r="X120" s="857">
        <f>'Recycling - Case 3'!AM170</f>
        <v>480.81966001152483</v>
      </c>
      <c r="Y120" s="858">
        <f>Parameters!S290</f>
        <v>0.71500000000000008</v>
      </c>
      <c r="Z120" s="858">
        <f t="shared" si="63"/>
        <v>0.4</v>
      </c>
      <c r="AA120" s="859">
        <f>X120*Z120*Y120*$D$4</f>
        <v>68.757211381648062</v>
      </c>
      <c r="AB120" s="859">
        <f t="shared" si="65"/>
        <v>68.757211381648062</v>
      </c>
      <c r="AC120" s="860">
        <f t="shared" si="66"/>
        <v>0</v>
      </c>
      <c r="AD120" s="859">
        <f t="shared" si="67"/>
        <v>2550.3590100326473</v>
      </c>
      <c r="AE120" s="859">
        <f t="shared" si="68"/>
        <v>127.23444498554997</v>
      </c>
      <c r="AF120" s="861">
        <f t="shared" si="69"/>
        <v>84.82296332369998</v>
      </c>
      <c r="AG120" s="4"/>
      <c r="AH120" s="857">
        <f>'Recycling - Case 3'!AM210</f>
        <v>480.81966001152483</v>
      </c>
      <c r="AI120" s="858">
        <f>Parameters!S290</f>
        <v>0.71500000000000008</v>
      </c>
      <c r="AJ120" s="858">
        <f t="shared" si="70"/>
        <v>0.4</v>
      </c>
      <c r="AK120" s="859">
        <f t="shared" si="71"/>
        <v>68.757211381648062</v>
      </c>
      <c r="AL120" s="859">
        <f t="shared" si="72"/>
        <v>68.757211381648062</v>
      </c>
      <c r="AM120" s="860">
        <f t="shared" si="73"/>
        <v>0</v>
      </c>
      <c r="AN120" s="859">
        <f t="shared" si="74"/>
        <v>2550.3590100326473</v>
      </c>
      <c r="AO120" s="859">
        <f t="shared" si="75"/>
        <v>127.23444498554997</v>
      </c>
      <c r="AP120" s="861">
        <f t="shared" si="76"/>
        <v>84.82296332369998</v>
      </c>
      <c r="AQ120" s="4"/>
      <c r="AR120" s="851">
        <f>'Recycling - Case 3'!G130</f>
        <v>855.21212856833142</v>
      </c>
      <c r="AS120" s="848">
        <f>Parameters!R221</f>
        <v>1</v>
      </c>
      <c r="AT120" s="848">
        <f t="shared" si="77"/>
        <v>0.05</v>
      </c>
      <c r="AU120" s="843">
        <f t="shared" si="78"/>
        <v>21.380303214208286</v>
      </c>
      <c r="AV120" s="843">
        <f t="shared" si="79"/>
        <v>21.380303214208286</v>
      </c>
      <c r="AW120" s="844">
        <f t="shared" si="80"/>
        <v>0</v>
      </c>
      <c r="AX120" s="843">
        <f t="shared" si="91"/>
        <v>310.60694063038488</v>
      </c>
      <c r="AY120" s="843">
        <f t="shared" si="49"/>
        <v>17.884776426743251</v>
      </c>
      <c r="AZ120" s="931">
        <f t="shared" si="47"/>
        <v>11.9231842844955</v>
      </c>
      <c r="BA120" s="4"/>
      <c r="BB120" s="1057">
        <f t="shared" si="81"/>
        <v>173.47396842315058</v>
      </c>
      <c r="BC120" s="1058">
        <f t="shared" si="82"/>
        <v>84.82296332369998</v>
      </c>
      <c r="BD120" s="1083">
        <f t="shared" si="90"/>
        <v>11.9231842844955</v>
      </c>
      <c r="BE120" s="1058">
        <f t="shared" si="54"/>
        <v>270.22011603134604</v>
      </c>
      <c r="BF120" s="1059">
        <v>0</v>
      </c>
      <c r="BG120" s="1076">
        <f t="shared" si="83"/>
        <v>270.22011603134604</v>
      </c>
      <c r="BI120" s="1057">
        <f t="shared" si="84"/>
        <v>173.47396842315058</v>
      </c>
      <c r="BJ120" s="1058">
        <f t="shared" si="85"/>
        <v>84.82296332369998</v>
      </c>
      <c r="BK120" s="1083">
        <f t="shared" si="86"/>
        <v>11.9231842844955</v>
      </c>
      <c r="BL120" s="1058">
        <f t="shared" si="55"/>
        <v>270.22011603134604</v>
      </c>
      <c r="BM120" s="1059">
        <v>0</v>
      </c>
      <c r="BN120" s="1076">
        <f t="shared" si="87"/>
        <v>270.22011603134604</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21875" bestFit="1" customWidth="1"/>
    <col min="2" max="2" width="35.21875" customWidth="1"/>
    <col min="3" max="3" width="17.6640625" customWidth="1"/>
    <col min="4" max="4" width="12.77734375" customWidth="1"/>
    <col min="5" max="5" width="18.44140625" bestFit="1" customWidth="1"/>
    <col min="6" max="6" width="25.21875" customWidth="1"/>
    <col min="7"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77734375" customWidth="1"/>
    <col min="14" max="14" width="17.88671875" customWidth="1"/>
    <col min="15" max="15" width="13.44140625" customWidth="1"/>
    <col min="16" max="16" width="11.77734375" customWidth="1"/>
    <col min="17" max="17" width="13.6640625" customWidth="1"/>
    <col min="18" max="18" width="15.88671875" customWidth="1"/>
    <col min="19" max="19" width="17" customWidth="1"/>
    <col min="20" max="20" width="17.5546875" customWidth="1"/>
    <col min="21" max="21" width="16.6640625" customWidth="1"/>
    <col min="22" max="22" width="17.77734375" customWidth="1"/>
    <col min="23" max="23" width="14.109375" customWidth="1"/>
  </cols>
  <sheetData>
    <row r="1" spans="1:23" ht="21">
      <c r="A1" s="1190" t="s">
        <v>736</v>
      </c>
      <c r="B1" s="1191"/>
      <c r="C1" s="115"/>
      <c r="D1" s="115"/>
      <c r="E1" s="115"/>
      <c r="F1" s="116"/>
    </row>
    <row r="2" spans="1:23">
      <c r="A2" s="127"/>
      <c r="F2" s="130"/>
    </row>
    <row r="3" spans="1:23" ht="28.8">
      <c r="A3" s="157" t="s">
        <v>175</v>
      </c>
      <c r="C3" s="1192" t="s">
        <v>177</v>
      </c>
      <c r="D3" s="1192" t="s">
        <v>178</v>
      </c>
      <c r="E3" s="1193"/>
      <c r="F3" s="1108"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 thickBot="1">
      <c r="A8" s="172" t="s">
        <v>180</v>
      </c>
      <c r="B8" s="163" t="s">
        <v>183</v>
      </c>
      <c r="C8" s="1107" t="s">
        <v>182</v>
      </c>
      <c r="D8" s="1107" t="s">
        <v>182</v>
      </c>
      <c r="E8" s="163"/>
      <c r="F8" s="1978"/>
    </row>
    <row r="9" spans="1:23" ht="15" thickBot="1">
      <c r="C9" s="395"/>
      <c r="D9" s="395"/>
      <c r="F9" s="1193"/>
    </row>
    <row r="10" spans="1:23" ht="15" thickBot="1">
      <c r="B10" s="1989" t="s">
        <v>510</v>
      </c>
      <c r="C10" s="1990"/>
      <c r="D10" s="1990"/>
      <c r="E10" s="1990"/>
      <c r="F10" s="1990"/>
      <c r="G10" s="1990"/>
      <c r="H10" s="1990"/>
      <c r="I10" s="1990"/>
      <c r="J10" s="1991"/>
      <c r="K10" s="1986" t="s">
        <v>509</v>
      </c>
      <c r="L10" s="1987"/>
      <c r="M10" s="1987"/>
      <c r="N10" s="1987"/>
      <c r="O10" s="1987"/>
      <c r="P10" s="1987"/>
      <c r="Q10" s="1987"/>
      <c r="R10" s="1987"/>
      <c r="S10" s="1988"/>
      <c r="T10" s="1992" t="s">
        <v>511</v>
      </c>
      <c r="U10" s="1993"/>
      <c r="V10" s="1993"/>
      <c r="W10" s="1994"/>
    </row>
    <row r="11" spans="1:23" ht="28.8" customHeight="1">
      <c r="A11" s="1975" t="s">
        <v>217</v>
      </c>
      <c r="B11" s="774" t="s">
        <v>619</v>
      </c>
      <c r="C11" s="1979" t="s">
        <v>495</v>
      </c>
      <c r="D11" s="1980"/>
      <c r="E11" s="1979" t="s">
        <v>289</v>
      </c>
      <c r="F11" s="1980"/>
      <c r="G11" s="1979" t="s">
        <v>290</v>
      </c>
      <c r="H11" s="1983"/>
      <c r="I11" s="1981" t="s">
        <v>287</v>
      </c>
      <c r="J11" s="1982"/>
      <c r="K11" s="474" t="s">
        <v>507</v>
      </c>
      <c r="L11" s="1995" t="s">
        <v>495</v>
      </c>
      <c r="M11" s="1996"/>
      <c r="N11" s="1995" t="s">
        <v>289</v>
      </c>
      <c r="O11" s="1996"/>
      <c r="P11" s="1995" t="s">
        <v>290</v>
      </c>
      <c r="Q11" s="1997"/>
      <c r="R11" s="1998" t="s">
        <v>287</v>
      </c>
      <c r="S11" s="1999"/>
      <c r="T11" s="1984" t="s">
        <v>508</v>
      </c>
      <c r="U11" s="1985"/>
      <c r="V11" s="1984" t="s">
        <v>783</v>
      </c>
      <c r="W11" s="1985"/>
    </row>
    <row r="12" spans="1:23" ht="29.4" customHeight="1" thickBot="1">
      <c r="A12" s="1976"/>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1058.982686442698</v>
      </c>
      <c r="L63" s="647">
        <v>0</v>
      </c>
      <c r="M63" s="647">
        <f>1-L63</f>
        <v>1</v>
      </c>
      <c r="N63" s="115">
        <v>0</v>
      </c>
      <c r="O63" s="115">
        <v>0</v>
      </c>
      <c r="P63" s="737">
        <f>L63*$D$5*'Input data'!U100/1000-N63</f>
        <v>0</v>
      </c>
      <c r="Q63" s="738">
        <f>M63*$D$4*K63/1000-O63</f>
        <v>4.2359307457707915</v>
      </c>
      <c r="R63" s="115"/>
      <c r="S63" s="1195">
        <f>M63*$D$7*K63/1000</f>
        <v>0.25415584474624753</v>
      </c>
      <c r="T63" s="1196">
        <f>G63+P63</f>
        <v>0</v>
      </c>
      <c r="U63" s="1197">
        <f>H63+Q63</f>
        <v>8.0183470293169297</v>
      </c>
      <c r="V63" s="1197">
        <f>I63+R63</f>
        <v>0</v>
      </c>
      <c r="W63" s="1198">
        <f>J63+S63</f>
        <v>0.48110082175901581</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19">
        <f t="shared" ref="Q64:Q114" si="5">M64*$D$4*K64/1000-O64</f>
        <v>4.3503006457684856</v>
      </c>
      <c r="S64" s="1199">
        <f t="shared" ref="S64:S114" si="6">M64*$D$7*K64/1000</f>
        <v>0.26101803874610913</v>
      </c>
      <c r="T64" s="1200">
        <f t="shared" ref="T64:W80" si="7">G64+P64</f>
        <v>0</v>
      </c>
      <c r="U64" s="1201">
        <f t="shared" si="7"/>
        <v>8.2109441751788736</v>
      </c>
      <c r="V64" s="1201">
        <f t="shared" si="7"/>
        <v>0</v>
      </c>
      <c r="W64" s="1202">
        <f t="shared" si="7"/>
        <v>0.49265665051073237</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19">
        <f>M65*$D$4*K65/1000-O65</f>
        <v>4.5112784031234456</v>
      </c>
      <c r="S65" s="1199">
        <f t="shared" si="6"/>
        <v>0.27067670418740675</v>
      </c>
      <c r="T65" s="1200">
        <f t="shared" si="7"/>
        <v>0</v>
      </c>
      <c r="U65" s="1201">
        <f t="shared" si="7"/>
        <v>8.4254775085485889</v>
      </c>
      <c r="V65" s="1201">
        <f t="shared" si="7"/>
        <v>0</v>
      </c>
      <c r="W65" s="1202">
        <f t="shared" si="7"/>
        <v>0.50552865051291529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19">
        <f t="shared" si="5"/>
        <v>4.6443195733219467</v>
      </c>
      <c r="S66" s="1199">
        <f t="shared" si="6"/>
        <v>0.27865917439931676</v>
      </c>
      <c r="T66" s="1200">
        <f t="shared" si="7"/>
        <v>0</v>
      </c>
      <c r="U66" s="1201">
        <f t="shared" si="7"/>
        <v>8.6086356945040752</v>
      </c>
      <c r="V66" s="1201">
        <f t="shared" si="7"/>
        <v>0</v>
      </c>
      <c r="W66" s="1202">
        <f t="shared" si="7"/>
        <v>0.51651814167024446</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19">
        <f t="shared" si="5"/>
        <v>4.8558475579352542</v>
      </c>
      <c r="S67" s="1199">
        <f t="shared" si="6"/>
        <v>0.29135085347611528</v>
      </c>
      <c r="T67" s="1200">
        <f t="shared" si="7"/>
        <v>0</v>
      </c>
      <c r="U67" s="1201">
        <f t="shared" si="7"/>
        <v>8.8673579186552658</v>
      </c>
      <c r="V67" s="1201">
        <f t="shared" si="7"/>
        <v>0</v>
      </c>
      <c r="W67" s="1202">
        <f t="shared" si="7"/>
        <v>0.53204147511931599</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19">
        <f t="shared" si="5"/>
        <v>5.1120933679923741</v>
      </c>
      <c r="S68" s="1199">
        <f t="shared" si="6"/>
        <v>0.30672560207954241</v>
      </c>
      <c r="T68" s="1200">
        <f t="shared" si="7"/>
        <v>0</v>
      </c>
      <c r="U68" s="1201">
        <f t="shared" si="7"/>
        <v>9.1694225441471602</v>
      </c>
      <c r="V68" s="1201">
        <f t="shared" si="7"/>
        <v>0</v>
      </c>
      <c r="W68" s="1202">
        <f t="shared" si="7"/>
        <v>0.5501653526488296</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19">
        <f t="shared" si="5"/>
        <v>5.3985647363715836</v>
      </c>
      <c r="S69" s="1199">
        <f t="shared" si="6"/>
        <v>0.323913884182295</v>
      </c>
      <c r="T69" s="1200">
        <f t="shared" si="7"/>
        <v>0</v>
      </c>
      <c r="U69" s="1201">
        <f t="shared" si="7"/>
        <v>9.5017127279611451</v>
      </c>
      <c r="V69" s="1201">
        <f t="shared" si="7"/>
        <v>0</v>
      </c>
      <c r="W69" s="1202">
        <f t="shared" si="7"/>
        <v>0.57010276367766866</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19">
        <f t="shared" si="5"/>
        <v>5.6879534975248092</v>
      </c>
      <c r="S70" s="1199">
        <f t="shared" si="6"/>
        <v>0.34127720985148852</v>
      </c>
      <c r="T70" s="1200">
        <f t="shared" si="7"/>
        <v>0</v>
      </c>
      <c r="U70" s="1201">
        <f t="shared" si="7"/>
        <v>9.8363185565040361</v>
      </c>
      <c r="V70" s="1201">
        <f t="shared" si="7"/>
        <v>0</v>
      </c>
      <c r="W70" s="1202">
        <f t="shared" si="7"/>
        <v>0.59017911339024209</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19">
        <f t="shared" si="5"/>
        <v>5.8694587522371702</v>
      </c>
      <c r="S71" s="1199">
        <f t="shared" si="6"/>
        <v>0.35216752513423022</v>
      </c>
      <c r="T71" s="1200">
        <f t="shared" si="7"/>
        <v>0</v>
      </c>
      <c r="U71" s="1201">
        <f t="shared" si="7"/>
        <v>10.063900518670504</v>
      </c>
      <c r="V71" s="1201">
        <f t="shared" si="7"/>
        <v>0</v>
      </c>
      <c r="W71" s="1202">
        <f t="shared" si="7"/>
        <v>0.60383403112023026</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19">
        <f t="shared" si="5"/>
        <v>5.7791812332054802</v>
      </c>
      <c r="S72" s="1199">
        <f t="shared" si="6"/>
        <v>0.34675087399232885</v>
      </c>
      <c r="T72" s="1200">
        <f t="shared" si="7"/>
        <v>0</v>
      </c>
      <c r="U72" s="1201">
        <f t="shared" si="7"/>
        <v>10.018926031034923</v>
      </c>
      <c r="V72" s="1201">
        <f t="shared" si="7"/>
        <v>0</v>
      </c>
      <c r="W72" s="1202">
        <f t="shared" si="7"/>
        <v>0.60113556186209549</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19">
        <f t="shared" si="5"/>
        <v>5.9548527859481322</v>
      </c>
      <c r="S73" s="1199">
        <f t="shared" si="6"/>
        <v>0.35729116715688791</v>
      </c>
      <c r="T73" s="1200">
        <f t="shared" si="7"/>
        <v>0</v>
      </c>
      <c r="U73" s="1201">
        <f t="shared" si="7"/>
        <v>11.529531158291498</v>
      </c>
      <c r="V73" s="1201">
        <f t="shared" si="7"/>
        <v>0</v>
      </c>
      <c r="W73" s="1202">
        <f t="shared" si="7"/>
        <v>0.69177186949748992</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19">
        <f t="shared" si="5"/>
        <v>5.5353781476425166</v>
      </c>
      <c r="S74" s="1199">
        <f t="shared" si="6"/>
        <v>0.33212268885855101</v>
      </c>
      <c r="T74" s="1200">
        <f t="shared" si="7"/>
        <v>0.19322233793635801</v>
      </c>
      <c r="U74" s="1201">
        <f t="shared" si="7"/>
        <v>12.205701939906765</v>
      </c>
      <c r="V74" s="1201">
        <f t="shared" si="7"/>
        <v>0</v>
      </c>
      <c r="W74" s="1202">
        <f t="shared" si="7"/>
        <v>0.73234211639440594</v>
      </c>
      <c r="Z74" s="1399"/>
      <c r="AA74" s="1401"/>
    </row>
    <row r="75" spans="1:27">
      <c r="A75" s="123">
        <f>'Input data'!A112</f>
        <v>2012</v>
      </c>
      <c r="B75" s="419">
        <f>'Baseline data (from input)'!C68*'Baseline data (from input)'!U68*'Baseline data (from input)'!Z68</f>
        <v>2060.0821081723147</v>
      </c>
      <c r="C75" s="114">
        <v>0.05</v>
      </c>
      <c r="D75" s="114">
        <f t="shared" si="0"/>
        <v>0.95</v>
      </c>
      <c r="E75">
        <v>0</v>
      </c>
      <c r="F75">
        <v>0</v>
      </c>
      <c r="G75" s="472">
        <f t="shared" si="1"/>
        <v>8.2403284326892604E-2</v>
      </c>
      <c r="H75" s="419">
        <f t="shared" si="2"/>
        <v>7.8283120110547948</v>
      </c>
      <c r="I75" s="395"/>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19">
        <f t="shared" si="5"/>
        <v>5.6579250360745252</v>
      </c>
      <c r="S75" s="1199">
        <f t="shared" si="6"/>
        <v>0.33947550216447153</v>
      </c>
      <c r="T75" s="1200">
        <f t="shared" si="7"/>
        <v>0.20813495179521541</v>
      </c>
      <c r="U75" s="1201">
        <f t="shared" si="7"/>
        <v>13.48623704712932</v>
      </c>
      <c r="V75" s="1201">
        <f t="shared" si="7"/>
        <v>0</v>
      </c>
      <c r="W75" s="1202">
        <f t="shared" si="7"/>
        <v>0.80917422282775919</v>
      </c>
      <c r="Z75" s="1399"/>
      <c r="AA75" s="1401"/>
    </row>
    <row r="76" spans="1:27">
      <c r="A76" s="123">
        <f>'Input data'!A113</f>
        <v>2013</v>
      </c>
      <c r="B76" s="419">
        <f>'Baseline data (from input)'!C69*'Baseline data (from input)'!U69*'Baseline data (from input)'!Z69</f>
        <v>2354.6679732272769</v>
      </c>
      <c r="C76" s="114">
        <v>0.05</v>
      </c>
      <c r="D76" s="114">
        <f t="shared" si="0"/>
        <v>0.95</v>
      </c>
      <c r="E76">
        <v>0</v>
      </c>
      <c r="F76">
        <v>0</v>
      </c>
      <c r="G76" s="472">
        <f t="shared" si="1"/>
        <v>9.4186718929091098E-2</v>
      </c>
      <c r="H76" s="419">
        <f t="shared" si="2"/>
        <v>8.9477382982636513</v>
      </c>
      <c r="I76" s="395"/>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19">
        <f t="shared" si="5"/>
        <v>5.7981031703705117</v>
      </c>
      <c r="S76" s="1199">
        <f t="shared" si="6"/>
        <v>0.34788619022223072</v>
      </c>
      <c r="T76" s="1200">
        <f t="shared" si="7"/>
        <v>0.22303345604843583</v>
      </c>
      <c r="U76" s="1201">
        <f t="shared" si="7"/>
        <v>14.745841468634163</v>
      </c>
      <c r="V76" s="1201">
        <f t="shared" si="7"/>
        <v>0</v>
      </c>
      <c r="W76" s="1202">
        <f t="shared" si="7"/>
        <v>0.88475048811804968</v>
      </c>
      <c r="Z76" s="1399"/>
      <c r="AA76" s="1401"/>
    </row>
    <row r="77" spans="1:27">
      <c r="A77" s="123">
        <f>'Input data'!A114</f>
        <v>2014</v>
      </c>
      <c r="B77" s="419">
        <f>'Baseline data (from input)'!C70*'Baseline data (from input)'!U70*'Baseline data (from input)'!Z70</f>
        <v>2631.7357399833486</v>
      </c>
      <c r="C77" s="114">
        <v>0.05</v>
      </c>
      <c r="D77" s="114">
        <f t="shared" si="0"/>
        <v>0.95</v>
      </c>
      <c r="E77">
        <v>0</v>
      </c>
      <c r="F77">
        <v>0</v>
      </c>
      <c r="G77" s="472">
        <f t="shared" si="1"/>
        <v>0.10526942959933396</v>
      </c>
      <c r="H77" s="419">
        <f t="shared" si="2"/>
        <v>10.000595811936725</v>
      </c>
      <c r="I77" s="395"/>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19">
        <f t="shared" si="5"/>
        <v>5.9069959071391489</v>
      </c>
      <c r="S77" s="1199">
        <f t="shared" si="6"/>
        <v>0.35441975442834889</v>
      </c>
      <c r="T77" s="1200">
        <f t="shared" si="7"/>
        <v>0.2365360053135373</v>
      </c>
      <c r="U77" s="1201">
        <f t="shared" si="7"/>
        <v>15.907591719075874</v>
      </c>
      <c r="V77" s="1201">
        <f t="shared" si="7"/>
        <v>0</v>
      </c>
      <c r="W77" s="1202">
        <f t="shared" si="7"/>
        <v>0.9544555031445523</v>
      </c>
      <c r="Z77" s="1399"/>
      <c r="AA77" s="1401"/>
    </row>
    <row r="78" spans="1:27">
      <c r="A78" s="123">
        <f>'Input data'!A115</f>
        <v>2015</v>
      </c>
      <c r="B78" s="419">
        <f>'Baseline data (from input)'!C71*'Baseline data (from input)'!U71*'Baseline data (from input)'!Z71</f>
        <v>2890.5274162260434</v>
      </c>
      <c r="C78" s="114">
        <v>0.05</v>
      </c>
      <c r="D78" s="114">
        <f t="shared" si="0"/>
        <v>0.95</v>
      </c>
      <c r="E78">
        <v>0</v>
      </c>
      <c r="F78">
        <v>0</v>
      </c>
      <c r="G78" s="472">
        <f t="shared" si="1"/>
        <v>0.11562109664904176</v>
      </c>
      <c r="H78" s="419">
        <f t="shared" si="2"/>
        <v>10.984004181658964</v>
      </c>
      <c r="I78" s="395"/>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19">
        <f t="shared" si="5"/>
        <v>5.9822568415658823</v>
      </c>
      <c r="S78" s="1199">
        <f t="shared" si="6"/>
        <v>0.35893541049395294</v>
      </c>
      <c r="T78" s="1200">
        <f t="shared" si="7"/>
        <v>0.24856013757272805</v>
      </c>
      <c r="U78" s="1201">
        <f t="shared" si="7"/>
        <v>16.966261023224845</v>
      </c>
      <c r="V78" s="1201">
        <f t="shared" si="7"/>
        <v>0</v>
      </c>
      <c r="W78" s="1202">
        <f t="shared" si="7"/>
        <v>1.0179756613934907</v>
      </c>
      <c r="Z78" s="1399"/>
      <c r="AA78" s="1401"/>
    </row>
    <row r="79" spans="1:27">
      <c r="A79" s="123">
        <f>'Input data'!A116</f>
        <v>2016</v>
      </c>
      <c r="B79" s="419">
        <f>'Baseline data (from input)'!C72*'Baseline data (from input)'!U72*'Baseline data (from input)'!Z72</f>
        <v>3130.2690826011199</v>
      </c>
      <c r="C79" s="114">
        <v>0.05</v>
      </c>
      <c r="D79" s="114">
        <f t="shared" si="0"/>
        <v>0.95</v>
      </c>
      <c r="E79">
        <v>0</v>
      </c>
      <c r="F79">
        <v>0</v>
      </c>
      <c r="G79" s="472">
        <f t="shared" si="1"/>
        <v>0.12521076330404482</v>
      </c>
      <c r="H79" s="419">
        <f t="shared" si="2"/>
        <v>11.895022513884255</v>
      </c>
      <c r="I79" s="395"/>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19">
        <f t="shared" si="5"/>
        <v>6.0301039464092749</v>
      </c>
      <c r="S79" s="1199">
        <f t="shared" si="6"/>
        <v>0.36180623678455648</v>
      </c>
      <c r="T79" s="1200">
        <f t="shared" si="7"/>
        <v>0.25921307322425091</v>
      </c>
      <c r="U79" s="1201">
        <f t="shared" si="7"/>
        <v>17.92512646029353</v>
      </c>
      <c r="V79" s="1201">
        <f t="shared" si="7"/>
        <v>0</v>
      </c>
      <c r="W79" s="1202">
        <f t="shared" si="7"/>
        <v>1.0755075876176117</v>
      </c>
      <c r="Z79" s="1399"/>
      <c r="AA79" s="1401"/>
    </row>
    <row r="80" spans="1:27" ht="15" thickBot="1">
      <c r="A80" s="123">
        <f>'Input data'!A117</f>
        <v>2017</v>
      </c>
      <c r="B80" s="419">
        <f>'Baseline data (from input)'!C73*'Baseline data (from input)'!U73*'Baseline data (from input)'!Z73</f>
        <v>3350.003081988611</v>
      </c>
      <c r="C80" s="414">
        <v>0.05</v>
      </c>
      <c r="D80" s="414">
        <f t="shared" si="0"/>
        <v>0.95</v>
      </c>
      <c r="E80" s="413">
        <v>0</v>
      </c>
      <c r="F80" s="413">
        <v>0</v>
      </c>
      <c r="G80" s="472">
        <f>C80*$D$5*B80/1000-E80</f>
        <v>0.13400012327954444</v>
      </c>
      <c r="H80" s="471">
        <f>D80*$D$4*B80/1000-F80</f>
        <v>12.73001171155672</v>
      </c>
      <c r="I80" s="395"/>
      <c r="J80" s="472">
        <f t="shared" si="3"/>
        <v>0.76380070269340317</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0.26959364327954449</v>
      </c>
      <c r="U80" s="1201">
        <f t="shared" si="7"/>
        <v>18.83172011155672</v>
      </c>
      <c r="V80" s="1201">
        <f t="shared" si="7"/>
        <v>0</v>
      </c>
      <c r="W80" s="1202">
        <f t="shared" si="7"/>
        <v>1.1299032066934032</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3707.5237846120858</v>
      </c>
      <c r="C82" s="114">
        <f>($C$86-$C$80)/($A$86-$A$80)+C80</f>
        <v>6.0000000000000005E-2</v>
      </c>
      <c r="D82" s="114">
        <f>1-C82</f>
        <v>0.94</v>
      </c>
      <c r="E82">
        <v>0</v>
      </c>
      <c r="F82">
        <v>0</v>
      </c>
      <c r="G82" s="776">
        <f>C82*$D$5*B82/1000-E82</f>
        <v>0.17796114166138013</v>
      </c>
      <c r="H82" s="519">
        <f>D82*$D$4*B82/1000-F82</f>
        <v>13.940289430141442</v>
      </c>
      <c r="J82" s="178">
        <f>D82*$D$7*B82/1000</f>
        <v>0.83641736580848647</v>
      </c>
      <c r="K82" s="527">
        <f>'Recycling - Case 1'!Z138</f>
        <v>1787.3285316252955</v>
      </c>
      <c r="L82" s="114">
        <v>0.1</v>
      </c>
      <c r="M82" s="114">
        <f>1-L82</f>
        <v>0.9</v>
      </c>
      <c r="N82">
        <f>N80</f>
        <v>0</v>
      </c>
      <c r="O82">
        <f>O80</f>
        <v>0</v>
      </c>
      <c r="P82" s="178">
        <f>L82*$D$5*K82/1000-N82</f>
        <v>0.14298628253002366</v>
      </c>
      <c r="Q82" s="419">
        <f t="shared" si="5"/>
        <v>6.4343827138510639</v>
      </c>
      <c r="S82" s="1199">
        <f t="shared" si="6"/>
        <v>0.38606296283106384</v>
      </c>
      <c r="T82" s="1200">
        <f>G82+P82</f>
        <v>0.32094742419140376</v>
      </c>
      <c r="U82" s="1201">
        <f>H82+Q82</f>
        <v>20.374672143992505</v>
      </c>
      <c r="V82" s="1201">
        <f t="shared" si="9"/>
        <v>0</v>
      </c>
      <c r="W82" s="1202">
        <f t="shared" si="9"/>
        <v>1.2224803286395503</v>
      </c>
    </row>
    <row r="83" spans="1:23">
      <c r="A83" s="123">
        <f>'Input data'!A119</f>
        <v>2019</v>
      </c>
      <c r="B83" s="1210">
        <f>'Recycling - Case 1'!AI99</f>
        <v>4010.8726104984025</v>
      </c>
      <c r="C83" s="1211">
        <f>($C$86-$C$80)/($A$86-$A$80)+C82</f>
        <v>7.0000000000000007E-2</v>
      </c>
      <c r="D83" s="1211">
        <f t="shared" ref="D83:D114" si="10">1-C83</f>
        <v>0.92999999999999994</v>
      </c>
      <c r="E83" s="53">
        <v>0</v>
      </c>
      <c r="F83" s="53">
        <v>0</v>
      </c>
      <c r="G83" s="776">
        <f t="shared" ref="G83:G114" si="11">C83*$D$5*B83/1000-E83</f>
        <v>0.22460886618791057</v>
      </c>
      <c r="H83" s="519">
        <f t="shared" ref="H83:H114" si="12">D83*$D$4*B83/1000-F83</f>
        <v>14.920446111054057</v>
      </c>
      <c r="I83" s="53"/>
      <c r="J83" s="776">
        <f t="shared" ref="J83:J114" si="13">D83*$D$7*B83/1000</f>
        <v>0.8952267666632433</v>
      </c>
      <c r="K83" s="527">
        <f>'Recycling - Case 1'!Z139</f>
        <v>1877.2124191793723</v>
      </c>
      <c r="L83" s="114">
        <v>0.1</v>
      </c>
      <c r="M83" s="1211">
        <f t="shared" ref="M83:M114" si="14">1-L83</f>
        <v>0.9</v>
      </c>
      <c r="N83" s="53">
        <f t="shared" ref="N83:O98" si="15">N81</f>
        <v>0</v>
      </c>
      <c r="O83" s="53">
        <f t="shared" si="15"/>
        <v>0</v>
      </c>
      <c r="P83" s="178">
        <f t="shared" ref="P83:P112" si="16">L83*$D$5*K83/1000-N83</f>
        <v>0.1501769935343498</v>
      </c>
      <c r="Q83" s="519">
        <f t="shared" si="5"/>
        <v>6.7579647090457398</v>
      </c>
      <c r="R83" s="53"/>
      <c r="S83" s="1213">
        <f t="shared" si="6"/>
        <v>0.40547788254274442</v>
      </c>
      <c r="T83" s="1200">
        <f t="shared" si="9"/>
        <v>0.37478585972226036</v>
      </c>
      <c r="U83" s="1201">
        <f t="shared" si="9"/>
        <v>21.678410820099796</v>
      </c>
      <c r="V83" s="1201">
        <f t="shared" si="9"/>
        <v>0</v>
      </c>
      <c r="W83" s="1202">
        <f t="shared" si="9"/>
        <v>1.3007046492059877</v>
      </c>
    </row>
    <row r="84" spans="1:23">
      <c r="A84" s="123">
        <f>'Input data'!A120</f>
        <v>2020</v>
      </c>
      <c r="B84" s="1210">
        <f>'Recycling - Case 1'!AI100</f>
        <v>4314.2214363847197</v>
      </c>
      <c r="C84" s="1211">
        <f t="shared" ref="C84:C85" si="17">($C$86-$C$80)/($A$86-$A$80)+C83</f>
        <v>0.08</v>
      </c>
      <c r="D84" s="1211">
        <f t="shared" si="10"/>
        <v>0.92</v>
      </c>
      <c r="E84" s="53">
        <v>0</v>
      </c>
      <c r="F84" s="53">
        <v>0</v>
      </c>
      <c r="G84" s="776">
        <f t="shared" si="11"/>
        <v>0.27611017192862208</v>
      </c>
      <c r="H84" s="519">
        <f t="shared" si="12"/>
        <v>15.876334885895769</v>
      </c>
      <c r="I84" s="53"/>
      <c r="J84" s="776">
        <f t="shared" si="13"/>
        <v>0.95258009315374614</v>
      </c>
      <c r="K84" s="527">
        <f>'Recycling - Case 1'!Z140</f>
        <v>1827.278823547847</v>
      </c>
      <c r="L84" s="114">
        <v>0.1</v>
      </c>
      <c r="M84" s="1211">
        <f t="shared" si="14"/>
        <v>0.9</v>
      </c>
      <c r="N84" s="53">
        <f t="shared" si="15"/>
        <v>0</v>
      </c>
      <c r="O84" s="53">
        <f t="shared" si="15"/>
        <v>0</v>
      </c>
      <c r="P84" s="178">
        <f t="shared" si="16"/>
        <v>0.14618230588382777</v>
      </c>
      <c r="Q84" s="519">
        <f t="shared" si="5"/>
        <v>6.5782037647722493</v>
      </c>
      <c r="R84" s="53"/>
      <c r="S84" s="1213">
        <f t="shared" si="6"/>
        <v>0.39469222588633496</v>
      </c>
      <c r="T84" s="1200">
        <f t="shared" si="9"/>
        <v>0.42229247781244983</v>
      </c>
      <c r="U84" s="1201">
        <f t="shared" si="9"/>
        <v>22.45453865066802</v>
      </c>
      <c r="V84" s="1201">
        <f t="shared" si="9"/>
        <v>0</v>
      </c>
      <c r="W84" s="1202">
        <f t="shared" si="9"/>
        <v>1.347272319040081</v>
      </c>
    </row>
    <row r="85" spans="1:23">
      <c r="A85" s="123">
        <f>'Input data'!A121</f>
        <v>2021</v>
      </c>
      <c r="B85" s="1210">
        <f>'Recycling - Case 1'!AI101</f>
        <v>4617.5702622710369</v>
      </c>
      <c r="C85" s="1211">
        <f t="shared" si="17"/>
        <v>0.09</v>
      </c>
      <c r="D85" s="1211">
        <f t="shared" si="10"/>
        <v>0.91</v>
      </c>
      <c r="E85" s="53">
        <v>0</v>
      </c>
      <c r="F85" s="53">
        <v>0</v>
      </c>
      <c r="G85" s="776">
        <f t="shared" si="11"/>
        <v>0.33246505888351463</v>
      </c>
      <c r="H85" s="519">
        <f t="shared" si="12"/>
        <v>16.807955754666576</v>
      </c>
      <c r="I85" s="53"/>
      <c r="J85" s="776">
        <f t="shared" si="13"/>
        <v>1.0084773452799944</v>
      </c>
      <c r="K85" s="527">
        <f>'Recycling - Case 1'!Z141</f>
        <v>1938.0250742794519</v>
      </c>
      <c r="L85" s="114">
        <v>0.1</v>
      </c>
      <c r="M85" s="1211">
        <f t="shared" si="14"/>
        <v>0.9</v>
      </c>
      <c r="N85" s="53">
        <f t="shared" si="15"/>
        <v>0</v>
      </c>
      <c r="O85" s="53">
        <f t="shared" si="15"/>
        <v>0</v>
      </c>
      <c r="P85" s="178">
        <f t="shared" si="16"/>
        <v>0.15504200594235618</v>
      </c>
      <c r="Q85" s="519">
        <f t="shared" si="5"/>
        <v>6.9768902674060271</v>
      </c>
      <c r="R85" s="53"/>
      <c r="S85" s="1213">
        <f t="shared" si="6"/>
        <v>0.41861341604436159</v>
      </c>
      <c r="T85" s="1200">
        <f t="shared" si="9"/>
        <v>0.48750706482587081</v>
      </c>
      <c r="U85" s="1201">
        <f t="shared" si="9"/>
        <v>23.784846022072603</v>
      </c>
      <c r="V85" s="1201">
        <f t="shared" si="9"/>
        <v>0</v>
      </c>
      <c r="W85" s="1202">
        <f t="shared" si="9"/>
        <v>1.427090761324356</v>
      </c>
    </row>
    <row r="86" spans="1:23">
      <c r="A86" s="123">
        <f>'Input data'!A122</f>
        <v>2022</v>
      </c>
      <c r="B86" s="1210">
        <f>'Recycling - Case 1'!AI102</f>
        <v>4920.9190881573541</v>
      </c>
      <c r="C86" s="1211">
        <f>'Recycling - Case 1'!C31</f>
        <v>0.1</v>
      </c>
      <c r="D86" s="1211">
        <f t="shared" si="10"/>
        <v>0.9</v>
      </c>
      <c r="E86" s="53">
        <v>0</v>
      </c>
      <c r="F86" s="53">
        <v>0</v>
      </c>
      <c r="G86" s="776">
        <f t="shared" si="11"/>
        <v>0.3936735270525884</v>
      </c>
      <c r="H86" s="519">
        <f t="shared" si="12"/>
        <v>17.715308717366476</v>
      </c>
      <c r="I86" s="53"/>
      <c r="J86" s="776">
        <f t="shared" si="13"/>
        <v>1.0629185230419884</v>
      </c>
      <c r="K86" s="527">
        <f>'Recycling - Case 1'!Z142</f>
        <v>2047.3374109577192</v>
      </c>
      <c r="L86" s="1211">
        <f>'Recycling - Case 1'!C31</f>
        <v>0.1</v>
      </c>
      <c r="M86" s="1211">
        <f t="shared" si="14"/>
        <v>0.9</v>
      </c>
      <c r="N86" s="53">
        <f t="shared" si="15"/>
        <v>0</v>
      </c>
      <c r="O86" s="53">
        <f t="shared" si="15"/>
        <v>0</v>
      </c>
      <c r="P86" s="178">
        <f t="shared" si="16"/>
        <v>0.16378699287661758</v>
      </c>
      <c r="Q86" s="519">
        <f t="shared" si="5"/>
        <v>7.3704146794477889</v>
      </c>
      <c r="R86" s="53"/>
      <c r="S86" s="1213">
        <f t="shared" si="6"/>
        <v>0.44222488076686733</v>
      </c>
      <c r="T86" s="1200">
        <f t="shared" si="9"/>
        <v>0.55746051992920598</v>
      </c>
      <c r="U86" s="1201">
        <f t="shared" si="9"/>
        <v>25.085723396814267</v>
      </c>
      <c r="V86" s="1201">
        <f t="shared" si="9"/>
        <v>0</v>
      </c>
      <c r="W86" s="1202">
        <f t="shared" si="9"/>
        <v>1.5051434038088558</v>
      </c>
    </row>
    <row r="87" spans="1:23">
      <c r="A87" s="123">
        <f>'Input data'!A123</f>
        <v>2023</v>
      </c>
      <c r="B87" s="1210">
        <f>'Recycling - Case 1'!AI103</f>
        <v>5224.2679140436703</v>
      </c>
      <c r="C87" s="1211">
        <f>C86</f>
        <v>0.1</v>
      </c>
      <c r="D87" s="1211">
        <f t="shared" si="10"/>
        <v>0.9</v>
      </c>
      <c r="E87" s="53">
        <v>0</v>
      </c>
      <c r="F87" s="53">
        <v>0</v>
      </c>
      <c r="G87" s="776">
        <f t="shared" si="11"/>
        <v>0.41794143312349369</v>
      </c>
      <c r="H87" s="519">
        <f t="shared" si="12"/>
        <v>18.807364490557216</v>
      </c>
      <c r="I87" s="53"/>
      <c r="J87" s="776">
        <f t="shared" si="13"/>
        <v>1.1284418694334328</v>
      </c>
      <c r="K87" s="527">
        <f>'Recycling - Case 1'!Z143</f>
        <v>2156.9702057009367</v>
      </c>
      <c r="L87" s="1211">
        <f>L86</f>
        <v>0.1</v>
      </c>
      <c r="M87" s="1211">
        <f t="shared" si="14"/>
        <v>0.9</v>
      </c>
      <c r="N87" s="53">
        <f t="shared" si="15"/>
        <v>0</v>
      </c>
      <c r="O87" s="53">
        <f t="shared" si="15"/>
        <v>0</v>
      </c>
      <c r="P87" s="178">
        <f t="shared" si="16"/>
        <v>0.17255761645607498</v>
      </c>
      <c r="Q87" s="519">
        <f t="shared" si="5"/>
        <v>7.7650927405233725</v>
      </c>
      <c r="R87" s="53"/>
      <c r="S87" s="1213">
        <f t="shared" si="6"/>
        <v>0.46590556443140235</v>
      </c>
      <c r="T87" s="1200">
        <f t="shared" si="9"/>
        <v>0.59049904957956867</v>
      </c>
      <c r="U87" s="1201">
        <f t="shared" si="9"/>
        <v>26.572457231080588</v>
      </c>
      <c r="V87" s="1201">
        <f t="shared" si="9"/>
        <v>0</v>
      </c>
      <c r="W87" s="1202">
        <f t="shared" si="9"/>
        <v>1.5943474338648351</v>
      </c>
    </row>
    <row r="88" spans="1:23">
      <c r="A88" s="123">
        <f>'Input data'!A124</f>
        <v>2024</v>
      </c>
      <c r="B88" s="1210">
        <f>'Recycling - Case 1'!AI104</f>
        <v>5527.6167399299875</v>
      </c>
      <c r="C88" s="1211">
        <f t="shared" ref="C88:C114" si="18">C87</f>
        <v>0.1</v>
      </c>
      <c r="D88" s="1211">
        <f t="shared" si="10"/>
        <v>0.9</v>
      </c>
      <c r="E88" s="53">
        <v>0</v>
      </c>
      <c r="F88" s="53">
        <v>0</v>
      </c>
      <c r="G88" s="776">
        <f t="shared" si="11"/>
        <v>0.44220933919439909</v>
      </c>
      <c r="H88" s="519">
        <f t="shared" si="12"/>
        <v>19.899420263747952</v>
      </c>
      <c r="I88" s="53"/>
      <c r="J88" s="776">
        <f t="shared" si="13"/>
        <v>1.1939652158248772</v>
      </c>
      <c r="K88" s="527">
        <f>'Recycling - Case 1'!Z144</f>
        <v>2265.3809146032418</v>
      </c>
      <c r="L88" s="1211">
        <f t="shared" ref="L88:L114" si="19">L87</f>
        <v>0.1</v>
      </c>
      <c r="M88" s="1211">
        <f t="shared" si="14"/>
        <v>0.9</v>
      </c>
      <c r="N88" s="53">
        <f t="shared" si="15"/>
        <v>0</v>
      </c>
      <c r="O88" s="53">
        <f t="shared" si="15"/>
        <v>0</v>
      </c>
      <c r="P88" s="178">
        <f t="shared" si="16"/>
        <v>0.18123047316825938</v>
      </c>
      <c r="Q88" s="519">
        <f t="shared" si="5"/>
        <v>8.1553712925716706</v>
      </c>
      <c r="R88" s="53"/>
      <c r="S88" s="1213">
        <f t="shared" si="6"/>
        <v>0.48932227755430024</v>
      </c>
      <c r="T88" s="1200">
        <f t="shared" si="9"/>
        <v>0.62343981236265844</v>
      </c>
      <c r="U88" s="1201">
        <f t="shared" si="9"/>
        <v>28.054791556319621</v>
      </c>
      <c r="V88" s="1201">
        <f t="shared" si="9"/>
        <v>0</v>
      </c>
      <c r="W88" s="1202">
        <f t="shared" si="9"/>
        <v>1.6832874933791775</v>
      </c>
    </row>
    <row r="89" spans="1:23">
      <c r="A89" s="123">
        <f>'Input data'!A125</f>
        <v>2025</v>
      </c>
      <c r="B89" s="1210">
        <f>'Recycling - Case 1'!AI105</f>
        <v>5830.9655658163047</v>
      </c>
      <c r="C89" s="1211">
        <f t="shared" si="18"/>
        <v>0.1</v>
      </c>
      <c r="D89" s="1211">
        <f t="shared" si="10"/>
        <v>0.9</v>
      </c>
      <c r="E89" s="53">
        <v>0</v>
      </c>
      <c r="F89" s="53">
        <v>0</v>
      </c>
      <c r="G89" s="776">
        <f t="shared" si="11"/>
        <v>0.46647724526530449</v>
      </c>
      <c r="H89" s="519">
        <f t="shared" si="12"/>
        <v>20.991476036938696</v>
      </c>
      <c r="I89" s="53"/>
      <c r="J89" s="776">
        <f t="shared" si="13"/>
        <v>1.2594885622163217</v>
      </c>
      <c r="K89" s="527">
        <f>'Recycling - Case 1'!Z145</f>
        <v>2375.2092430810053</v>
      </c>
      <c r="L89" s="1211">
        <f t="shared" si="19"/>
        <v>0.1</v>
      </c>
      <c r="M89" s="1211">
        <f t="shared" si="14"/>
        <v>0.9</v>
      </c>
      <c r="N89" s="53">
        <f t="shared" si="15"/>
        <v>0</v>
      </c>
      <c r="O89" s="53">
        <f t="shared" si="15"/>
        <v>0</v>
      </c>
      <c r="P89" s="178">
        <f t="shared" si="16"/>
        <v>0.19001673944648048</v>
      </c>
      <c r="Q89" s="519">
        <f t="shared" si="5"/>
        <v>8.5507532750916191</v>
      </c>
      <c r="R89" s="53"/>
      <c r="S89" s="1213">
        <f t="shared" si="6"/>
        <v>0.51304519650549718</v>
      </c>
      <c r="T89" s="1200">
        <f t="shared" si="9"/>
        <v>0.65649398471178499</v>
      </c>
      <c r="U89" s="1201">
        <f t="shared" si="9"/>
        <v>29.542229312030315</v>
      </c>
      <c r="V89" s="1201">
        <f t="shared" si="9"/>
        <v>0</v>
      </c>
      <c r="W89" s="1202">
        <f t="shared" si="9"/>
        <v>1.7725337587218188</v>
      </c>
    </row>
    <row r="90" spans="1:23">
      <c r="A90" s="123">
        <f>'Input data'!A126</f>
        <v>2026</v>
      </c>
      <c r="B90" s="1210">
        <f>'Recycling - Case 1'!AI106</f>
        <v>6134.3143917026209</v>
      </c>
      <c r="C90" s="1211">
        <f t="shared" si="18"/>
        <v>0.1</v>
      </c>
      <c r="D90" s="1211">
        <f t="shared" si="10"/>
        <v>0.9</v>
      </c>
      <c r="E90" s="53">
        <v>0</v>
      </c>
      <c r="F90" s="53">
        <v>0</v>
      </c>
      <c r="G90" s="776">
        <f t="shared" si="11"/>
        <v>0.49074515133620972</v>
      </c>
      <c r="H90" s="519">
        <f t="shared" si="12"/>
        <v>22.083531810129436</v>
      </c>
      <c r="I90" s="53"/>
      <c r="J90" s="776">
        <f t="shared" si="13"/>
        <v>1.3250119086077661</v>
      </c>
      <c r="K90" s="527">
        <f>'Recycling - Case 1'!Z146</f>
        <v>2491.5390682324214</v>
      </c>
      <c r="L90" s="1211">
        <f t="shared" si="19"/>
        <v>0.1</v>
      </c>
      <c r="M90" s="1211">
        <f t="shared" si="14"/>
        <v>0.9</v>
      </c>
      <c r="N90" s="53">
        <f t="shared" si="15"/>
        <v>0</v>
      </c>
      <c r="O90" s="53">
        <f t="shared" si="15"/>
        <v>0</v>
      </c>
      <c r="P90" s="178">
        <f t="shared" si="16"/>
        <v>0.19932312545859376</v>
      </c>
      <c r="Q90" s="519">
        <f t="shared" si="5"/>
        <v>8.9695406456367177</v>
      </c>
      <c r="R90" s="53"/>
      <c r="S90" s="1213">
        <f t="shared" si="6"/>
        <v>0.53817243873820297</v>
      </c>
      <c r="T90" s="1200">
        <f t="shared" si="9"/>
        <v>0.69006827679480343</v>
      </c>
      <c r="U90" s="1201">
        <f t="shared" si="9"/>
        <v>31.053072455766156</v>
      </c>
      <c r="V90" s="1201">
        <f t="shared" si="9"/>
        <v>0</v>
      </c>
      <c r="W90" s="1202">
        <f t="shared" si="9"/>
        <v>1.863184347345969</v>
      </c>
    </row>
    <row r="91" spans="1:23">
      <c r="A91" s="123">
        <f>'Input data'!A127</f>
        <v>2027</v>
      </c>
      <c r="B91" s="1210">
        <f>'Recycling - Case 1'!AI107</f>
        <v>6437.663217588939</v>
      </c>
      <c r="C91" s="1211">
        <f t="shared" si="18"/>
        <v>0.1</v>
      </c>
      <c r="D91" s="1211">
        <f t="shared" si="10"/>
        <v>0.9</v>
      </c>
      <c r="E91" s="53">
        <v>0</v>
      </c>
      <c r="F91" s="53">
        <v>0</v>
      </c>
      <c r="G91" s="776">
        <f t="shared" si="11"/>
        <v>0.51501305740711523</v>
      </c>
      <c r="H91" s="519">
        <f t="shared" si="12"/>
        <v>23.175587583320183</v>
      </c>
      <c r="I91" s="53"/>
      <c r="J91" s="776">
        <f t="shared" si="13"/>
        <v>1.3905352549992107</v>
      </c>
      <c r="K91" s="527">
        <f>'Recycling - Case 1'!Z147</f>
        <v>2607.4669629294931</v>
      </c>
      <c r="L91" s="1211">
        <f t="shared" si="19"/>
        <v>0.1</v>
      </c>
      <c r="M91" s="1211">
        <f t="shared" si="14"/>
        <v>0.9</v>
      </c>
      <c r="N91" s="53">
        <f t="shared" si="15"/>
        <v>0</v>
      </c>
      <c r="O91" s="53">
        <f t="shared" si="15"/>
        <v>0</v>
      </c>
      <c r="P91" s="178">
        <f t="shared" si="16"/>
        <v>0.20859735703435947</v>
      </c>
      <c r="Q91" s="519">
        <f t="shared" si="5"/>
        <v>9.3868810665461755</v>
      </c>
      <c r="R91" s="53"/>
      <c r="S91" s="1213">
        <f t="shared" si="6"/>
        <v>0.56321286399277048</v>
      </c>
      <c r="T91" s="1200">
        <f t="shared" si="9"/>
        <v>0.72361041444147467</v>
      </c>
      <c r="U91" s="1201">
        <f t="shared" si="9"/>
        <v>32.562468649866361</v>
      </c>
      <c r="V91" s="1201">
        <f t="shared" si="9"/>
        <v>0</v>
      </c>
      <c r="W91" s="1202">
        <f t="shared" si="9"/>
        <v>1.9537481189919812</v>
      </c>
    </row>
    <row r="92" spans="1:23">
      <c r="A92" s="123">
        <f>'Input data'!A128</f>
        <v>2028</v>
      </c>
      <c r="B92" s="1210">
        <f>'Recycling - Case 1'!AI108</f>
        <v>6437.663217588939</v>
      </c>
      <c r="C92" s="1211">
        <f t="shared" si="18"/>
        <v>0.1</v>
      </c>
      <c r="D92" s="1211">
        <f t="shared" si="10"/>
        <v>0.9</v>
      </c>
      <c r="E92" s="53">
        <v>0</v>
      </c>
      <c r="F92" s="53">
        <v>0</v>
      </c>
      <c r="G92" s="776">
        <f t="shared" si="11"/>
        <v>0.51501305740711523</v>
      </c>
      <c r="H92" s="519">
        <f t="shared" si="12"/>
        <v>23.175587583320183</v>
      </c>
      <c r="I92" s="53"/>
      <c r="J92" s="776">
        <f t="shared" si="13"/>
        <v>1.3905352549992107</v>
      </c>
      <c r="K92" s="527">
        <f>'Recycling - Case 1'!Z148</f>
        <v>2650.1584949720245</v>
      </c>
      <c r="L92" s="1211">
        <f t="shared" si="19"/>
        <v>0.1</v>
      </c>
      <c r="M92" s="1211">
        <f t="shared" si="14"/>
        <v>0.9</v>
      </c>
      <c r="N92" s="53">
        <f t="shared" si="15"/>
        <v>0</v>
      </c>
      <c r="O92" s="53">
        <f t="shared" si="15"/>
        <v>0</v>
      </c>
      <c r="P92" s="178">
        <f t="shared" si="16"/>
        <v>0.21201267959776199</v>
      </c>
      <c r="Q92" s="519">
        <f t="shared" si="5"/>
        <v>9.5405705818992885</v>
      </c>
      <c r="R92" s="53"/>
      <c r="S92" s="1213">
        <f t="shared" si="6"/>
        <v>0.57243423491395728</v>
      </c>
      <c r="T92" s="1200">
        <f t="shared" si="9"/>
        <v>0.72702573700487716</v>
      </c>
      <c r="U92" s="1201">
        <f t="shared" si="9"/>
        <v>32.716158165219468</v>
      </c>
      <c r="V92" s="1201">
        <f t="shared" si="9"/>
        <v>0</v>
      </c>
      <c r="W92" s="1202">
        <f t="shared" si="9"/>
        <v>1.962969489913168</v>
      </c>
    </row>
    <row r="93" spans="1:23">
      <c r="A93" s="123">
        <f>'Input data'!A129</f>
        <v>2029</v>
      </c>
      <c r="B93" s="1210">
        <f>'Recycling - Case 1'!AI109</f>
        <v>6437.663217588939</v>
      </c>
      <c r="C93" s="1211">
        <f t="shared" si="18"/>
        <v>0.1</v>
      </c>
      <c r="D93" s="1211">
        <f t="shared" si="10"/>
        <v>0.9</v>
      </c>
      <c r="E93" s="53">
        <v>0</v>
      </c>
      <c r="F93" s="53">
        <v>0</v>
      </c>
      <c r="G93" s="776">
        <f t="shared" si="11"/>
        <v>0.51501305740711523</v>
      </c>
      <c r="H93" s="519">
        <f t="shared" si="12"/>
        <v>23.175587583320183</v>
      </c>
      <c r="I93" s="53"/>
      <c r="J93" s="776">
        <f t="shared" si="13"/>
        <v>1.3905352549992107</v>
      </c>
      <c r="K93" s="527">
        <f>'Recycling - Case 1'!Z149</f>
        <v>2694.2622150973871</v>
      </c>
      <c r="L93" s="1211">
        <f t="shared" si="19"/>
        <v>0.1</v>
      </c>
      <c r="M93" s="1211">
        <f t="shared" si="14"/>
        <v>0.9</v>
      </c>
      <c r="N93" s="53">
        <f t="shared" si="15"/>
        <v>0</v>
      </c>
      <c r="O93" s="53">
        <f t="shared" si="15"/>
        <v>0</v>
      </c>
      <c r="P93" s="178">
        <f t="shared" si="16"/>
        <v>0.215540977207791</v>
      </c>
      <c r="Q93" s="519">
        <f t="shared" si="5"/>
        <v>9.6993439743505938</v>
      </c>
      <c r="R93" s="53"/>
      <c r="S93" s="1213">
        <f t="shared" si="6"/>
        <v>0.58196063846103563</v>
      </c>
      <c r="T93" s="1200">
        <f t="shared" si="9"/>
        <v>0.7305540346149062</v>
      </c>
      <c r="U93" s="1201">
        <f t="shared" si="9"/>
        <v>32.874931557670777</v>
      </c>
      <c r="V93" s="1201">
        <f t="shared" si="9"/>
        <v>0</v>
      </c>
      <c r="W93" s="1202">
        <f t="shared" si="9"/>
        <v>1.9724958934602463</v>
      </c>
    </row>
    <row r="94" spans="1:23">
      <c r="A94" s="123">
        <f>'Input data'!A130</f>
        <v>2030</v>
      </c>
      <c r="B94" s="1210">
        <f>'Recycling - Case 1'!AI110</f>
        <v>6437.663217588939</v>
      </c>
      <c r="C94" s="1211">
        <f t="shared" si="18"/>
        <v>0.1</v>
      </c>
      <c r="D94" s="1211">
        <f t="shared" si="10"/>
        <v>0.9</v>
      </c>
      <c r="E94" s="53">
        <v>0</v>
      </c>
      <c r="F94" s="53">
        <v>0</v>
      </c>
      <c r="G94" s="776">
        <f t="shared" si="11"/>
        <v>0.51501305740711523</v>
      </c>
      <c r="H94" s="519">
        <f t="shared" si="12"/>
        <v>23.175587583320183</v>
      </c>
      <c r="I94" s="53"/>
      <c r="J94" s="776">
        <f t="shared" si="13"/>
        <v>1.3905352549992107</v>
      </c>
      <c r="K94" s="527">
        <f>'Recycling - Case 1'!Z150</f>
        <v>2739.9084791286127</v>
      </c>
      <c r="L94" s="1211">
        <f t="shared" si="19"/>
        <v>0.1</v>
      </c>
      <c r="M94" s="1211">
        <f t="shared" si="14"/>
        <v>0.9</v>
      </c>
      <c r="N94" s="53">
        <f t="shared" si="15"/>
        <v>0</v>
      </c>
      <c r="O94" s="53">
        <f t="shared" si="15"/>
        <v>0</v>
      </c>
      <c r="P94" s="178">
        <f t="shared" si="16"/>
        <v>0.21919267833028905</v>
      </c>
      <c r="Q94" s="519">
        <f t="shared" si="5"/>
        <v>9.8636705248630054</v>
      </c>
      <c r="R94" s="53"/>
      <c r="S94" s="1213">
        <f t="shared" si="6"/>
        <v>0.59182023149178031</v>
      </c>
      <c r="T94" s="1200">
        <f t="shared" si="9"/>
        <v>0.73420573573740433</v>
      </c>
      <c r="U94" s="1201">
        <f t="shared" si="9"/>
        <v>33.039258108183191</v>
      </c>
      <c r="V94" s="1201">
        <f t="shared" si="9"/>
        <v>0</v>
      </c>
      <c r="W94" s="1202">
        <f t="shared" si="9"/>
        <v>1.9823554864909911</v>
      </c>
    </row>
    <row r="95" spans="1:23">
      <c r="A95" s="123">
        <f>'Input data'!A131</f>
        <v>2031</v>
      </c>
      <c r="B95" s="1210">
        <f>'Recycling - Case 1'!AI111</f>
        <v>6437.663217588939</v>
      </c>
      <c r="C95" s="1211">
        <f t="shared" si="18"/>
        <v>0.1</v>
      </c>
      <c r="D95" s="1211">
        <f t="shared" si="10"/>
        <v>0.9</v>
      </c>
      <c r="E95" s="53">
        <v>0</v>
      </c>
      <c r="F95" s="53">
        <v>0</v>
      </c>
      <c r="G95" s="776">
        <f t="shared" si="11"/>
        <v>0.51501305740711523</v>
      </c>
      <c r="H95" s="519">
        <f t="shared" si="12"/>
        <v>23.175587583320183</v>
      </c>
      <c r="I95" s="53"/>
      <c r="J95" s="776">
        <f t="shared" si="13"/>
        <v>1.3905352549992107</v>
      </c>
      <c r="K95" s="527">
        <f>'Recycling - Case 1'!Z151</f>
        <v>2794.7176712203664</v>
      </c>
      <c r="L95" s="1211">
        <f t="shared" si="19"/>
        <v>0.1</v>
      </c>
      <c r="M95" s="1211">
        <f t="shared" si="14"/>
        <v>0.9</v>
      </c>
      <c r="N95" s="53">
        <f t="shared" si="15"/>
        <v>0</v>
      </c>
      <c r="O95" s="53">
        <f t="shared" si="15"/>
        <v>0</v>
      </c>
      <c r="P95" s="178">
        <f t="shared" si="16"/>
        <v>0.22357741369762935</v>
      </c>
      <c r="Q95" s="519">
        <f t="shared" si="5"/>
        <v>10.060983616393319</v>
      </c>
      <c r="R95" s="53"/>
      <c r="S95" s="1213">
        <f t="shared" si="6"/>
        <v>0.60365901698359914</v>
      </c>
      <c r="T95" s="1200">
        <f t="shared" si="9"/>
        <v>0.73859047110474463</v>
      </c>
      <c r="U95" s="1201">
        <f t="shared" si="9"/>
        <v>33.236571199713502</v>
      </c>
      <c r="V95" s="1201">
        <f t="shared" si="9"/>
        <v>0</v>
      </c>
      <c r="W95" s="1202">
        <f t="shared" si="9"/>
        <v>1.9941942719828099</v>
      </c>
    </row>
    <row r="96" spans="1:23">
      <c r="A96" s="123">
        <f>'Input data'!A132</f>
        <v>2032</v>
      </c>
      <c r="B96" s="1210">
        <f>'Recycling - Case 1'!AI112</f>
        <v>6437.663217588939</v>
      </c>
      <c r="C96" s="1211">
        <f t="shared" si="18"/>
        <v>0.1</v>
      </c>
      <c r="D96" s="1211">
        <f t="shared" si="10"/>
        <v>0.9</v>
      </c>
      <c r="E96" s="53">
        <v>0</v>
      </c>
      <c r="F96" s="53">
        <v>0</v>
      </c>
      <c r="G96" s="776">
        <f t="shared" si="11"/>
        <v>0.51501305740711523</v>
      </c>
      <c r="H96" s="519">
        <f t="shared" si="12"/>
        <v>23.175587583320183</v>
      </c>
      <c r="I96" s="53"/>
      <c r="J96" s="776">
        <f t="shared" si="13"/>
        <v>1.3905352549992107</v>
      </c>
      <c r="K96" s="527">
        <f>'Recycling - Case 1'!Z152</f>
        <v>2846.9523358072647</v>
      </c>
      <c r="L96" s="1211">
        <f t="shared" si="19"/>
        <v>0.1</v>
      </c>
      <c r="M96" s="1211">
        <f t="shared" si="14"/>
        <v>0.9</v>
      </c>
      <c r="N96" s="53">
        <f t="shared" si="15"/>
        <v>0</v>
      </c>
      <c r="O96" s="53">
        <f t="shared" si="15"/>
        <v>0</v>
      </c>
      <c r="P96" s="178">
        <f t="shared" si="16"/>
        <v>0.22775618686458121</v>
      </c>
      <c r="Q96" s="519">
        <f t="shared" si="5"/>
        <v>10.249028408906153</v>
      </c>
      <c r="R96" s="53"/>
      <c r="S96" s="1213">
        <f t="shared" si="6"/>
        <v>0.61494170453436914</v>
      </c>
      <c r="T96" s="1200">
        <f t="shared" si="9"/>
        <v>0.74276924427169644</v>
      </c>
      <c r="U96" s="1201">
        <f t="shared" si="9"/>
        <v>33.424615992226336</v>
      </c>
      <c r="V96" s="1201">
        <f t="shared" si="9"/>
        <v>0</v>
      </c>
      <c r="W96" s="1202">
        <f t="shared" si="9"/>
        <v>2.00547695953358</v>
      </c>
    </row>
    <row r="97" spans="1:23">
      <c r="A97" s="123">
        <f>'Input data'!A133</f>
        <v>2033</v>
      </c>
      <c r="B97" s="1210">
        <f>'Recycling - Case 1'!AI113</f>
        <v>6437.663217588939</v>
      </c>
      <c r="C97" s="1211">
        <f t="shared" si="18"/>
        <v>0.1</v>
      </c>
      <c r="D97" s="1211">
        <f t="shared" si="10"/>
        <v>0.9</v>
      </c>
      <c r="E97" s="53">
        <v>0</v>
      </c>
      <c r="F97" s="53">
        <v>0</v>
      </c>
      <c r="G97" s="776">
        <f t="shared" si="11"/>
        <v>0.51501305740711523</v>
      </c>
      <c r="H97" s="519">
        <f t="shared" si="12"/>
        <v>23.175587583320183</v>
      </c>
      <c r="I97" s="53"/>
      <c r="J97" s="776">
        <f t="shared" si="13"/>
        <v>1.3905352549992107</v>
      </c>
      <c r="K97" s="527">
        <f>'Recycling - Case 1'!Z153</f>
        <v>2904.9661085485213</v>
      </c>
      <c r="L97" s="1211">
        <f t="shared" si="19"/>
        <v>0.1</v>
      </c>
      <c r="M97" s="1211">
        <f t="shared" si="14"/>
        <v>0.9</v>
      </c>
      <c r="N97" s="53">
        <f t="shared" si="15"/>
        <v>0</v>
      </c>
      <c r="O97" s="53">
        <f t="shared" si="15"/>
        <v>0</v>
      </c>
      <c r="P97" s="178">
        <f t="shared" si="16"/>
        <v>0.23239728868388176</v>
      </c>
      <c r="Q97" s="519">
        <f t="shared" si="5"/>
        <v>10.457877990774678</v>
      </c>
      <c r="R97" s="53"/>
      <c r="S97" s="1213">
        <f t="shared" si="6"/>
        <v>0.62747267944648055</v>
      </c>
      <c r="T97" s="1200">
        <f t="shared" si="9"/>
        <v>0.74741034609099699</v>
      </c>
      <c r="U97" s="1201">
        <f t="shared" si="9"/>
        <v>33.633465574094863</v>
      </c>
      <c r="V97" s="1201">
        <f t="shared" si="9"/>
        <v>0</v>
      </c>
      <c r="W97" s="1202">
        <f t="shared" si="9"/>
        <v>2.0180079344456914</v>
      </c>
    </row>
    <row r="98" spans="1:23">
      <c r="A98" s="123">
        <f>'Input data'!A134</f>
        <v>2034</v>
      </c>
      <c r="B98" s="1210">
        <f>'Recycling - Case 1'!AI114</f>
        <v>6437.663217588939</v>
      </c>
      <c r="C98" s="1211">
        <f t="shared" si="18"/>
        <v>0.1</v>
      </c>
      <c r="D98" s="1211">
        <f t="shared" si="10"/>
        <v>0.9</v>
      </c>
      <c r="E98" s="53">
        <v>0</v>
      </c>
      <c r="F98" s="53">
        <v>0</v>
      </c>
      <c r="G98" s="776">
        <f t="shared" si="11"/>
        <v>0.51501305740711523</v>
      </c>
      <c r="H98" s="519">
        <f t="shared" si="12"/>
        <v>23.175587583320183</v>
      </c>
      <c r="I98" s="53"/>
      <c r="J98" s="776">
        <f t="shared" si="13"/>
        <v>1.3905352549992107</v>
      </c>
      <c r="K98" s="527">
        <f>'Recycling - Case 1'!Z154</f>
        <v>2966.9991858332214</v>
      </c>
      <c r="L98" s="1211">
        <f t="shared" si="19"/>
        <v>0.1</v>
      </c>
      <c r="M98" s="1211">
        <f t="shared" si="14"/>
        <v>0.9</v>
      </c>
      <c r="N98" s="53">
        <f t="shared" si="15"/>
        <v>0</v>
      </c>
      <c r="O98" s="53">
        <f t="shared" si="15"/>
        <v>0</v>
      </c>
      <c r="P98" s="178">
        <f t="shared" si="16"/>
        <v>0.23735993486665777</v>
      </c>
      <c r="Q98" s="519">
        <f t="shared" si="5"/>
        <v>10.681197068999598</v>
      </c>
      <c r="R98" s="53"/>
      <c r="S98" s="1213">
        <f t="shared" si="6"/>
        <v>0.64087182413997579</v>
      </c>
      <c r="T98" s="1200">
        <f t="shared" si="9"/>
        <v>0.75237299227377297</v>
      </c>
      <c r="U98" s="1201">
        <f t="shared" si="9"/>
        <v>33.856784652319782</v>
      </c>
      <c r="V98" s="1201">
        <f t="shared" si="9"/>
        <v>0</v>
      </c>
      <c r="W98" s="1202">
        <f t="shared" si="9"/>
        <v>2.0314070791391865</v>
      </c>
    </row>
    <row r="99" spans="1:23">
      <c r="A99" s="123">
        <f>'Input data'!A135</f>
        <v>2035</v>
      </c>
      <c r="B99" s="1210">
        <f>'Recycling - Case 1'!AI115</f>
        <v>6437.663217588939</v>
      </c>
      <c r="C99" s="1211">
        <f t="shared" si="18"/>
        <v>0.1</v>
      </c>
      <c r="D99" s="1211">
        <f t="shared" si="10"/>
        <v>0.9</v>
      </c>
      <c r="E99" s="53">
        <v>0</v>
      </c>
      <c r="F99" s="53">
        <v>0</v>
      </c>
      <c r="G99" s="776">
        <f t="shared" si="11"/>
        <v>0.51501305740711523</v>
      </c>
      <c r="H99" s="519">
        <f t="shared" si="12"/>
        <v>23.175587583320183</v>
      </c>
      <c r="I99" s="53"/>
      <c r="J99" s="776">
        <f t="shared" si="13"/>
        <v>1.3905352549992107</v>
      </c>
      <c r="K99" s="527">
        <f>'Recycling - Case 1'!Z155</f>
        <v>3033.3014163221746</v>
      </c>
      <c r="L99" s="1211">
        <f t="shared" si="19"/>
        <v>0.1</v>
      </c>
      <c r="M99" s="1211">
        <f t="shared" si="14"/>
        <v>0.9</v>
      </c>
      <c r="N99" s="53">
        <f t="shared" ref="N99:O114" si="20">N97</f>
        <v>0</v>
      </c>
      <c r="O99" s="53">
        <f t="shared" si="20"/>
        <v>0</v>
      </c>
      <c r="P99" s="178">
        <f>L99*$D$5*K99/1000-N99</f>
        <v>0.242664113305774</v>
      </c>
      <c r="Q99" s="519">
        <f t="shared" si="5"/>
        <v>10.919885098759829</v>
      </c>
      <c r="R99" s="53"/>
      <c r="S99" s="1213">
        <f t="shared" si="6"/>
        <v>0.65519310592558977</v>
      </c>
      <c r="T99" s="1200">
        <f t="shared" si="9"/>
        <v>0.7576771707128892</v>
      </c>
      <c r="U99" s="1201">
        <f t="shared" si="9"/>
        <v>34.095472682080015</v>
      </c>
      <c r="V99" s="1201">
        <f t="shared" si="9"/>
        <v>0</v>
      </c>
      <c r="W99" s="1202">
        <f t="shared" si="9"/>
        <v>2.0457283609248007</v>
      </c>
    </row>
    <row r="100" spans="1:23">
      <c r="A100" s="123">
        <f>'Input data'!A136</f>
        <v>2036</v>
      </c>
      <c r="B100" s="1210">
        <f>'Recycling - Case 1'!AI116</f>
        <v>6437.663217588939</v>
      </c>
      <c r="C100" s="1211">
        <f t="shared" si="18"/>
        <v>0.1</v>
      </c>
      <c r="D100" s="1211">
        <f t="shared" si="10"/>
        <v>0.9</v>
      </c>
      <c r="E100" s="53">
        <v>0</v>
      </c>
      <c r="F100" s="53">
        <v>0</v>
      </c>
      <c r="G100" s="776">
        <f t="shared" si="11"/>
        <v>0.51501305740711523</v>
      </c>
      <c r="H100" s="519">
        <f t="shared" si="12"/>
        <v>23.175587583320183</v>
      </c>
      <c r="I100" s="53"/>
      <c r="J100" s="776">
        <f>D100*$D$7*B100/1000</f>
        <v>1.3905352549992107</v>
      </c>
      <c r="K100" s="527">
        <f>'Recycling - Case 1'!Z156</f>
        <v>3101.5644156492149</v>
      </c>
      <c r="L100" s="1211">
        <f t="shared" si="19"/>
        <v>0.1</v>
      </c>
      <c r="M100" s="1211">
        <f t="shared" si="14"/>
        <v>0.9</v>
      </c>
      <c r="N100" s="53">
        <f t="shared" si="20"/>
        <v>0</v>
      </c>
      <c r="O100" s="53">
        <f t="shared" si="20"/>
        <v>0</v>
      </c>
      <c r="P100" s="178">
        <f t="shared" si="16"/>
        <v>0.24812515325193724</v>
      </c>
      <c r="Q100" s="519">
        <f t="shared" si="5"/>
        <v>11.165631896337175</v>
      </c>
      <c r="R100" s="53"/>
      <c r="S100" s="1213">
        <f t="shared" si="6"/>
        <v>0.66993791378023038</v>
      </c>
      <c r="T100" s="1200">
        <f t="shared" si="9"/>
        <v>0.76313821065905252</v>
      </c>
      <c r="U100" s="1201">
        <f t="shared" si="9"/>
        <v>34.341219479657354</v>
      </c>
      <c r="V100" s="1201">
        <f t="shared" si="9"/>
        <v>0</v>
      </c>
      <c r="W100" s="1202">
        <f t="shared" si="9"/>
        <v>2.0604731687794411</v>
      </c>
    </row>
    <row r="101" spans="1:23">
      <c r="A101" s="123">
        <f>'Input data'!A137</f>
        <v>2037</v>
      </c>
      <c r="B101" s="1210">
        <f>'Recycling - Case 1'!AI117</f>
        <v>6437.663217588939</v>
      </c>
      <c r="C101" s="1211">
        <f t="shared" si="18"/>
        <v>0.1</v>
      </c>
      <c r="D101" s="1211">
        <f t="shared" si="10"/>
        <v>0.9</v>
      </c>
      <c r="E101" s="53">
        <v>0</v>
      </c>
      <c r="F101" s="53">
        <v>0</v>
      </c>
      <c r="G101" s="776">
        <f t="shared" si="11"/>
        <v>0.51501305740711523</v>
      </c>
      <c r="H101" s="519">
        <f t="shared" si="12"/>
        <v>23.175587583320183</v>
      </c>
      <c r="I101" s="53"/>
      <c r="J101" s="776">
        <f t="shared" si="13"/>
        <v>1.3905352549992107</v>
      </c>
      <c r="K101" s="527">
        <f>'Recycling - Case 1'!Z157</f>
        <v>3172.7332635313132</v>
      </c>
      <c r="L101" s="1211">
        <f t="shared" si="19"/>
        <v>0.1</v>
      </c>
      <c r="M101" s="1211">
        <f t="shared" si="14"/>
        <v>0.9</v>
      </c>
      <c r="N101" s="53">
        <f t="shared" si="20"/>
        <v>0</v>
      </c>
      <c r="O101" s="53">
        <f t="shared" si="20"/>
        <v>0</v>
      </c>
      <c r="P101" s="178">
        <f t="shared" si="16"/>
        <v>0.25381866108250511</v>
      </c>
      <c r="Q101" s="519">
        <f t="shared" si="5"/>
        <v>11.421839748712728</v>
      </c>
      <c r="R101" s="53"/>
      <c r="S101" s="1213">
        <f t="shared" si="6"/>
        <v>0.68531038492276364</v>
      </c>
      <c r="T101" s="1200">
        <f t="shared" si="9"/>
        <v>0.76883171848962029</v>
      </c>
      <c r="U101" s="1201">
        <f t="shared" si="9"/>
        <v>34.597427332032908</v>
      </c>
      <c r="V101" s="1201">
        <f t="shared" si="9"/>
        <v>0</v>
      </c>
      <c r="W101" s="1202">
        <f t="shared" si="9"/>
        <v>2.0758456399219742</v>
      </c>
    </row>
    <row r="102" spans="1:23">
      <c r="A102" s="123">
        <f>'Input data'!A138</f>
        <v>2038</v>
      </c>
      <c r="B102" s="1210">
        <f>'Recycling - Case 1'!AI118</f>
        <v>6437.663217588939</v>
      </c>
      <c r="C102" s="1211">
        <f t="shared" si="18"/>
        <v>0.1</v>
      </c>
      <c r="D102" s="1211">
        <f t="shared" si="10"/>
        <v>0.9</v>
      </c>
      <c r="E102" s="53">
        <v>0</v>
      </c>
      <c r="F102" s="53">
        <v>0</v>
      </c>
      <c r="G102" s="776">
        <f t="shared" si="11"/>
        <v>0.51501305740711523</v>
      </c>
      <c r="H102" s="519">
        <f t="shared" si="12"/>
        <v>23.175587583320183</v>
      </c>
      <c r="I102" s="53"/>
      <c r="J102" s="776">
        <f t="shared" si="13"/>
        <v>1.3905352549992107</v>
      </c>
      <c r="K102" s="527">
        <f>'Recycling - Case 1'!Z158</f>
        <v>3244.988409938665</v>
      </c>
      <c r="L102" s="1211">
        <f t="shared" si="19"/>
        <v>0.1</v>
      </c>
      <c r="M102" s="1211">
        <f t="shared" si="14"/>
        <v>0.9</v>
      </c>
      <c r="N102" s="53">
        <f t="shared" si="20"/>
        <v>0</v>
      </c>
      <c r="O102" s="53">
        <f t="shared" si="20"/>
        <v>0</v>
      </c>
      <c r="P102" s="178">
        <f t="shared" si="16"/>
        <v>0.25959907279509326</v>
      </c>
      <c r="Q102" s="519">
        <f t="shared" si="5"/>
        <v>11.681958275779195</v>
      </c>
      <c r="R102" s="53"/>
      <c r="S102" s="1213">
        <f t="shared" si="6"/>
        <v>0.70091749654675162</v>
      </c>
      <c r="T102" s="1200">
        <f t="shared" si="9"/>
        <v>0.77461213020220843</v>
      </c>
      <c r="U102" s="1201">
        <f t="shared" si="9"/>
        <v>34.857545859099375</v>
      </c>
      <c r="V102" s="1201">
        <f t="shared" si="9"/>
        <v>0</v>
      </c>
      <c r="W102" s="1202">
        <f t="shared" si="9"/>
        <v>2.0914527515459622</v>
      </c>
    </row>
    <row r="103" spans="1:23">
      <c r="A103" s="123">
        <f>'Input data'!A139</f>
        <v>2039</v>
      </c>
      <c r="B103" s="1210">
        <f>'Recycling - Case 1'!AI119</f>
        <v>6437.663217588939</v>
      </c>
      <c r="C103" s="1211">
        <f t="shared" si="18"/>
        <v>0.1</v>
      </c>
      <c r="D103" s="1211">
        <f t="shared" si="10"/>
        <v>0.9</v>
      </c>
      <c r="E103" s="53">
        <v>0</v>
      </c>
      <c r="F103" s="53">
        <v>0</v>
      </c>
      <c r="G103" s="776">
        <f t="shared" si="11"/>
        <v>0.51501305740711523</v>
      </c>
      <c r="H103" s="519">
        <f t="shared" si="12"/>
        <v>23.175587583320183</v>
      </c>
      <c r="I103" s="53"/>
      <c r="J103" s="776">
        <f t="shared" si="13"/>
        <v>1.3905352549992107</v>
      </c>
      <c r="K103" s="527">
        <f>'Recycling - Case 1'!Z159</f>
        <v>3320.2145828125908</v>
      </c>
      <c r="L103" s="1211">
        <f t="shared" si="19"/>
        <v>0.1</v>
      </c>
      <c r="M103" s="1211">
        <f t="shared" si="14"/>
        <v>0.9</v>
      </c>
      <c r="N103" s="53">
        <f t="shared" si="20"/>
        <v>0</v>
      </c>
      <c r="O103" s="53">
        <f t="shared" si="20"/>
        <v>0</v>
      </c>
      <c r="P103" s="178">
        <f t="shared" si="16"/>
        <v>0.26561716662500734</v>
      </c>
      <c r="Q103" s="519">
        <f t="shared" si="5"/>
        <v>11.952772498125327</v>
      </c>
      <c r="R103" s="53"/>
      <c r="S103" s="1213">
        <f t="shared" si="6"/>
        <v>0.71716634988751959</v>
      </c>
      <c r="T103" s="1200">
        <f t="shared" si="9"/>
        <v>0.78063022403212257</v>
      </c>
      <c r="U103" s="1201">
        <f t="shared" si="9"/>
        <v>35.128360081445507</v>
      </c>
      <c r="V103" s="1201">
        <f t="shared" si="9"/>
        <v>0</v>
      </c>
      <c r="W103" s="1202">
        <f t="shared" si="9"/>
        <v>2.1077016048867305</v>
      </c>
    </row>
    <row r="104" spans="1:23">
      <c r="A104" s="123">
        <f>'Input data'!A140</f>
        <v>2040</v>
      </c>
      <c r="B104" s="1210">
        <f>'Recycling - Case 1'!AI120</f>
        <v>6437.663217588939</v>
      </c>
      <c r="C104" s="1211">
        <f t="shared" si="18"/>
        <v>0.1</v>
      </c>
      <c r="D104" s="1211">
        <f t="shared" si="10"/>
        <v>0.9</v>
      </c>
      <c r="E104" s="53">
        <v>0</v>
      </c>
      <c r="F104" s="53">
        <v>0</v>
      </c>
      <c r="G104" s="776">
        <f t="shared" si="11"/>
        <v>0.51501305740711523</v>
      </c>
      <c r="H104" s="519">
        <f t="shared" si="12"/>
        <v>23.175587583320183</v>
      </c>
      <c r="I104" s="53"/>
      <c r="J104" s="776">
        <f t="shared" si="13"/>
        <v>1.3905352549992107</v>
      </c>
      <c r="K104" s="527">
        <f>'Recycling - Case 1'!Z160</f>
        <v>3400.0466614335983</v>
      </c>
      <c r="L104" s="1211">
        <f t="shared" si="19"/>
        <v>0.1</v>
      </c>
      <c r="M104" s="1211">
        <f t="shared" si="14"/>
        <v>0.9</v>
      </c>
      <c r="N104" s="53">
        <f t="shared" si="20"/>
        <v>0</v>
      </c>
      <c r="O104" s="53">
        <f t="shared" si="20"/>
        <v>0</v>
      </c>
      <c r="P104" s="178">
        <f t="shared" si="16"/>
        <v>0.27200373291468793</v>
      </c>
      <c r="Q104" s="519">
        <f t="shared" si="5"/>
        <v>12.240167981160953</v>
      </c>
      <c r="R104" s="53"/>
      <c r="S104" s="1213">
        <f t="shared" si="6"/>
        <v>0.73441007886965726</v>
      </c>
      <c r="T104" s="1200">
        <f t="shared" si="9"/>
        <v>0.78701679032180316</v>
      </c>
      <c r="U104" s="1201">
        <f t="shared" si="9"/>
        <v>35.415755564481138</v>
      </c>
      <c r="V104" s="1201">
        <f t="shared" si="9"/>
        <v>0</v>
      </c>
      <c r="W104" s="1202">
        <f t="shared" si="9"/>
        <v>2.124945333868868</v>
      </c>
    </row>
    <row r="105" spans="1:23">
      <c r="A105" s="123">
        <f>'Input data'!A141</f>
        <v>2041</v>
      </c>
      <c r="B105" s="1210">
        <f>'Recycling - Case 1'!AI121</f>
        <v>6437.663217588939</v>
      </c>
      <c r="C105" s="1211">
        <f t="shared" si="18"/>
        <v>0.1</v>
      </c>
      <c r="D105" s="1211">
        <f t="shared" si="10"/>
        <v>0.9</v>
      </c>
      <c r="E105" s="53">
        <v>0</v>
      </c>
      <c r="F105" s="53">
        <v>0</v>
      </c>
      <c r="G105" s="776">
        <f t="shared" si="11"/>
        <v>0.51501305740711523</v>
      </c>
      <c r="H105" s="519">
        <f t="shared" si="12"/>
        <v>23.175587583320183</v>
      </c>
      <c r="I105" s="53"/>
      <c r="J105" s="776">
        <f t="shared" si="13"/>
        <v>1.3905352549992107</v>
      </c>
      <c r="K105" s="527">
        <f>'Recycling - Case 1'!Z161</f>
        <v>3483.1647930935037</v>
      </c>
      <c r="L105" s="1211">
        <f t="shared" si="19"/>
        <v>0.1</v>
      </c>
      <c r="M105" s="1211">
        <f t="shared" si="14"/>
        <v>0.9</v>
      </c>
      <c r="N105" s="53">
        <f t="shared" si="20"/>
        <v>0</v>
      </c>
      <c r="O105" s="53">
        <f t="shared" si="20"/>
        <v>0</v>
      </c>
      <c r="P105" s="178">
        <f t="shared" si="16"/>
        <v>0.27865318344748036</v>
      </c>
      <c r="Q105" s="519">
        <f t="shared" si="5"/>
        <v>12.539393255136615</v>
      </c>
      <c r="R105" s="53"/>
      <c r="S105" s="1213">
        <f t="shared" si="6"/>
        <v>0.75236359530819674</v>
      </c>
      <c r="T105" s="1200">
        <f t="shared" si="9"/>
        <v>0.79366624085459558</v>
      </c>
      <c r="U105" s="1201">
        <f t="shared" si="9"/>
        <v>35.714980838456796</v>
      </c>
      <c r="V105" s="1201">
        <f t="shared" si="9"/>
        <v>0</v>
      </c>
      <c r="W105" s="1202">
        <f t="shared" si="9"/>
        <v>2.1428988503074073</v>
      </c>
    </row>
    <row r="106" spans="1:23">
      <c r="A106" s="123">
        <f>'Input data'!A142</f>
        <v>2042</v>
      </c>
      <c r="B106" s="1210">
        <f>'Recycling - Case 1'!AI122</f>
        <v>6437.663217588939</v>
      </c>
      <c r="C106" s="1211">
        <f t="shared" si="18"/>
        <v>0.1</v>
      </c>
      <c r="D106" s="1211">
        <f t="shared" si="10"/>
        <v>0.9</v>
      </c>
      <c r="E106" s="53">
        <v>0</v>
      </c>
      <c r="F106" s="53">
        <v>0</v>
      </c>
      <c r="G106" s="776">
        <f t="shared" si="11"/>
        <v>0.51501305740711523</v>
      </c>
      <c r="H106" s="519">
        <f t="shared" si="12"/>
        <v>23.175587583320183</v>
      </c>
      <c r="I106" s="53"/>
      <c r="J106" s="776">
        <f t="shared" si="13"/>
        <v>1.3905352549992107</v>
      </c>
      <c r="K106" s="527">
        <f>'Recycling - Case 1'!Z162</f>
        <v>3569.829689438367</v>
      </c>
      <c r="L106" s="1211">
        <f t="shared" si="19"/>
        <v>0.1</v>
      </c>
      <c r="M106" s="1211">
        <f t="shared" si="14"/>
        <v>0.9</v>
      </c>
      <c r="N106" s="53">
        <f t="shared" si="20"/>
        <v>0</v>
      </c>
      <c r="O106" s="53">
        <f t="shared" si="20"/>
        <v>0</v>
      </c>
      <c r="P106" s="178">
        <f t="shared" si="16"/>
        <v>0.28558637515506941</v>
      </c>
      <c r="Q106" s="519">
        <f t="shared" si="5"/>
        <v>12.851386881978122</v>
      </c>
      <c r="R106" s="53"/>
      <c r="S106" s="1213">
        <f t="shared" si="6"/>
        <v>0.77108321291868731</v>
      </c>
      <c r="T106" s="1200">
        <f t="shared" si="9"/>
        <v>0.80059943256218458</v>
      </c>
      <c r="U106" s="1201">
        <f t="shared" si="9"/>
        <v>36.026974465298309</v>
      </c>
      <c r="V106" s="1201">
        <f t="shared" si="9"/>
        <v>0</v>
      </c>
      <c r="W106" s="1202">
        <f t="shared" si="9"/>
        <v>2.161618467917898</v>
      </c>
    </row>
    <row r="107" spans="1:23">
      <c r="A107" s="123">
        <f>'Input data'!A143</f>
        <v>2043</v>
      </c>
      <c r="B107" s="1210">
        <f>'Recycling - Case 1'!AI123</f>
        <v>6437.663217588939</v>
      </c>
      <c r="C107" s="1211">
        <f t="shared" si="18"/>
        <v>0.1</v>
      </c>
      <c r="D107" s="1211">
        <f t="shared" si="10"/>
        <v>0.9</v>
      </c>
      <c r="E107" s="53">
        <v>0</v>
      </c>
      <c r="F107" s="53">
        <v>0</v>
      </c>
      <c r="G107" s="776">
        <f t="shared" si="11"/>
        <v>0.51501305740711523</v>
      </c>
      <c r="H107" s="519">
        <f t="shared" si="12"/>
        <v>23.175587583320183</v>
      </c>
      <c r="I107" s="53"/>
      <c r="J107" s="776">
        <f t="shared" si="13"/>
        <v>1.3905352549992107</v>
      </c>
      <c r="K107" s="527">
        <f>'Recycling - Case 1'!Z163</f>
        <v>3659.8240907631371</v>
      </c>
      <c r="L107" s="1211">
        <f t="shared" si="19"/>
        <v>0.1</v>
      </c>
      <c r="M107" s="1211">
        <f t="shared" si="14"/>
        <v>0.9</v>
      </c>
      <c r="N107" s="53">
        <f t="shared" si="20"/>
        <v>0</v>
      </c>
      <c r="O107" s="53">
        <f t="shared" si="20"/>
        <v>0</v>
      </c>
      <c r="P107" s="178">
        <f t="shared" si="16"/>
        <v>0.29278592726105102</v>
      </c>
      <c r="Q107" s="519">
        <f t="shared" si="5"/>
        <v>13.175366726747294</v>
      </c>
      <c r="R107" s="53"/>
      <c r="S107" s="1213">
        <f t="shared" si="6"/>
        <v>0.7905220036048376</v>
      </c>
      <c r="T107" s="1200">
        <f t="shared" si="9"/>
        <v>0.80779898466816624</v>
      </c>
      <c r="U107" s="1201">
        <f t="shared" si="9"/>
        <v>36.350954310067479</v>
      </c>
      <c r="V107" s="1201">
        <f t="shared" si="9"/>
        <v>0</v>
      </c>
      <c r="W107" s="1202">
        <f t="shared" si="9"/>
        <v>2.1810572586040484</v>
      </c>
    </row>
    <row r="108" spans="1:23">
      <c r="A108" s="123">
        <f>'Input data'!A144</f>
        <v>2044</v>
      </c>
      <c r="B108" s="1210">
        <f>'Recycling - Case 1'!AI124</f>
        <v>6437.663217588939</v>
      </c>
      <c r="C108" s="1211">
        <f t="shared" si="18"/>
        <v>0.1</v>
      </c>
      <c r="D108" s="1211">
        <f t="shared" si="10"/>
        <v>0.9</v>
      </c>
      <c r="E108" s="53">
        <v>0</v>
      </c>
      <c r="F108" s="53">
        <v>0</v>
      </c>
      <c r="G108" s="776">
        <f t="shared" si="11"/>
        <v>0.51501305740711523</v>
      </c>
      <c r="H108" s="519">
        <f t="shared" si="12"/>
        <v>23.175587583320183</v>
      </c>
      <c r="I108" s="53"/>
      <c r="J108" s="776">
        <f t="shared" si="13"/>
        <v>1.3905352549992107</v>
      </c>
      <c r="K108" s="527">
        <f>'Recycling - Case 1'!Z164</f>
        <v>3753.6313999115555</v>
      </c>
      <c r="L108" s="1211">
        <f t="shared" si="19"/>
        <v>0.1</v>
      </c>
      <c r="M108" s="1211">
        <f t="shared" si="14"/>
        <v>0.9</v>
      </c>
      <c r="N108" s="53">
        <f t="shared" si="20"/>
        <v>0</v>
      </c>
      <c r="O108" s="53">
        <f t="shared" si="20"/>
        <v>0</v>
      </c>
      <c r="P108" s="178">
        <f t="shared" si="16"/>
        <v>0.3002905119929245</v>
      </c>
      <c r="Q108" s="519">
        <f t="shared" si="5"/>
        <v>13.513073039681601</v>
      </c>
      <c r="R108" s="53"/>
      <c r="S108" s="1213">
        <f t="shared" si="6"/>
        <v>0.81078438238089601</v>
      </c>
      <c r="T108" s="1200">
        <f t="shared" si="9"/>
        <v>0.81530356940003967</v>
      </c>
      <c r="U108" s="1201">
        <f t="shared" si="9"/>
        <v>36.68866062300178</v>
      </c>
      <c r="V108" s="1201">
        <f t="shared" si="9"/>
        <v>0</v>
      </c>
      <c r="W108" s="1202">
        <f t="shared" si="9"/>
        <v>2.2013196373801067</v>
      </c>
    </row>
    <row r="109" spans="1:23">
      <c r="A109" s="123">
        <f>'Input data'!A145</f>
        <v>2045</v>
      </c>
      <c r="B109" s="1210">
        <f>'Recycling - Case 1'!AI125</f>
        <v>6437.663217588939</v>
      </c>
      <c r="C109" s="1211">
        <f t="shared" si="18"/>
        <v>0.1</v>
      </c>
      <c r="D109" s="1211">
        <f t="shared" si="10"/>
        <v>0.9</v>
      </c>
      <c r="E109" s="53">
        <v>0</v>
      </c>
      <c r="F109" s="53">
        <v>0</v>
      </c>
      <c r="G109" s="776">
        <f t="shared" si="11"/>
        <v>0.51501305740711523</v>
      </c>
      <c r="H109" s="519">
        <f t="shared" si="12"/>
        <v>23.175587583320183</v>
      </c>
      <c r="I109" s="53"/>
      <c r="J109" s="776">
        <f t="shared" si="13"/>
        <v>1.3905352549992107</v>
      </c>
      <c r="K109" s="527">
        <f>'Recycling - Case 1'!Z165</f>
        <v>3853.2612691553395</v>
      </c>
      <c r="L109" s="1211">
        <f t="shared" si="19"/>
        <v>0.1</v>
      </c>
      <c r="M109" s="1211">
        <f t="shared" si="14"/>
        <v>0.9</v>
      </c>
      <c r="N109" s="53">
        <f t="shared" si="20"/>
        <v>0</v>
      </c>
      <c r="O109" s="53">
        <f t="shared" si="20"/>
        <v>0</v>
      </c>
      <c r="P109" s="178">
        <f t="shared" si="16"/>
        <v>0.30826090153242725</v>
      </c>
      <c r="Q109" s="519">
        <f t="shared" si="5"/>
        <v>13.871740568959224</v>
      </c>
      <c r="R109" s="53"/>
      <c r="S109" s="1213">
        <f t="shared" si="6"/>
        <v>0.83230443413755339</v>
      </c>
      <c r="T109" s="1200">
        <f t="shared" si="9"/>
        <v>0.82327395893954247</v>
      </c>
      <c r="U109" s="1201">
        <f t="shared" si="9"/>
        <v>37.047328152279405</v>
      </c>
      <c r="V109" s="1201">
        <f t="shared" si="9"/>
        <v>0</v>
      </c>
      <c r="W109" s="1202">
        <f t="shared" si="9"/>
        <v>2.2228396891367641</v>
      </c>
    </row>
    <row r="110" spans="1:23">
      <c r="A110" s="123">
        <f>'Input data'!A146</f>
        <v>2046</v>
      </c>
      <c r="B110" s="1210">
        <f>'Recycling - Case 1'!AI126</f>
        <v>6437.663217588939</v>
      </c>
      <c r="C110" s="1211">
        <f t="shared" si="18"/>
        <v>0.1</v>
      </c>
      <c r="D110" s="1211">
        <f t="shared" si="10"/>
        <v>0.9</v>
      </c>
      <c r="E110" s="53">
        <v>0</v>
      </c>
      <c r="F110" s="53">
        <v>0</v>
      </c>
      <c r="G110" s="776">
        <f t="shared" si="11"/>
        <v>0.51501305740711523</v>
      </c>
      <c r="H110" s="519">
        <f t="shared" si="12"/>
        <v>23.175587583320183</v>
      </c>
      <c r="I110" s="53"/>
      <c r="J110" s="776">
        <f t="shared" si="13"/>
        <v>1.3905352549992107</v>
      </c>
      <c r="K110" s="527">
        <f>'Recycling - Case 1'!Z166</f>
        <v>3957.8175022111564</v>
      </c>
      <c r="L110" s="1211">
        <f t="shared" si="19"/>
        <v>0.1</v>
      </c>
      <c r="M110" s="1211">
        <f t="shared" si="14"/>
        <v>0.9</v>
      </c>
      <c r="N110" s="53">
        <f t="shared" si="20"/>
        <v>0</v>
      </c>
      <c r="O110" s="53">
        <f t="shared" si="20"/>
        <v>0</v>
      </c>
      <c r="P110" s="178">
        <f t="shared" si="16"/>
        <v>0.31662540017689256</v>
      </c>
      <c r="Q110" s="519">
        <f t="shared" si="5"/>
        <v>14.248143007960163</v>
      </c>
      <c r="R110" s="53"/>
      <c r="S110" s="1213">
        <f t="shared" si="6"/>
        <v>0.85488858047760974</v>
      </c>
      <c r="T110" s="1200">
        <f t="shared" si="9"/>
        <v>0.83163845758400778</v>
      </c>
      <c r="U110" s="1201">
        <f t="shared" si="9"/>
        <v>37.423730591280346</v>
      </c>
      <c r="V110" s="1201">
        <f t="shared" si="9"/>
        <v>0</v>
      </c>
      <c r="W110" s="1202">
        <f t="shared" si="9"/>
        <v>2.2454238354768203</v>
      </c>
    </row>
    <row r="111" spans="1:23">
      <c r="A111" s="123">
        <f>'Input data'!A147</f>
        <v>2047</v>
      </c>
      <c r="B111" s="1210">
        <f>'Recycling - Case 1'!AI127</f>
        <v>6437.663217588939</v>
      </c>
      <c r="C111" s="1211">
        <f t="shared" si="18"/>
        <v>0.1</v>
      </c>
      <c r="D111" s="1211">
        <f t="shared" si="10"/>
        <v>0.9</v>
      </c>
      <c r="E111" s="53">
        <v>0</v>
      </c>
      <c r="F111" s="53">
        <v>0</v>
      </c>
      <c r="G111" s="776">
        <f t="shared" si="11"/>
        <v>0.51501305740711523</v>
      </c>
      <c r="H111" s="519">
        <f t="shared" si="12"/>
        <v>23.175587583320183</v>
      </c>
      <c r="I111" s="53"/>
      <c r="J111" s="776">
        <f t="shared" si="13"/>
        <v>1.3905352549992107</v>
      </c>
      <c r="K111" s="527">
        <f>'Recycling - Case 1'!Z167</f>
        <v>4067.3652769905207</v>
      </c>
      <c r="L111" s="1211">
        <f t="shared" si="19"/>
        <v>0.1</v>
      </c>
      <c r="M111" s="1211">
        <f t="shared" si="14"/>
        <v>0.9</v>
      </c>
      <c r="N111" s="53">
        <f t="shared" si="20"/>
        <v>0</v>
      </c>
      <c r="O111" s="53">
        <f t="shared" si="20"/>
        <v>0</v>
      </c>
      <c r="P111" s="178">
        <f t="shared" si="16"/>
        <v>0.32538922215924176</v>
      </c>
      <c r="Q111" s="519">
        <f t="shared" si="5"/>
        <v>14.642514997165874</v>
      </c>
      <c r="R111" s="53"/>
      <c r="S111" s="1213">
        <f t="shared" si="6"/>
        <v>0.87855089982995238</v>
      </c>
      <c r="T111" s="1200">
        <f t="shared" si="9"/>
        <v>0.84040227956635705</v>
      </c>
      <c r="U111" s="1201">
        <f t="shared" si="9"/>
        <v>37.818102580486055</v>
      </c>
      <c r="V111" s="1201">
        <f t="shared" si="9"/>
        <v>0</v>
      </c>
      <c r="W111" s="1202">
        <f t="shared" si="9"/>
        <v>2.269086154829163</v>
      </c>
    </row>
    <row r="112" spans="1:23">
      <c r="A112" s="123">
        <f>'Input data'!A148</f>
        <v>2048</v>
      </c>
      <c r="B112" s="1210">
        <f>'Recycling - Case 1'!AI128</f>
        <v>6437.663217588939</v>
      </c>
      <c r="C112" s="1211">
        <f t="shared" si="18"/>
        <v>0.1</v>
      </c>
      <c r="D112" s="1211">
        <f t="shared" si="10"/>
        <v>0.9</v>
      </c>
      <c r="E112" s="53">
        <v>0</v>
      </c>
      <c r="F112" s="53">
        <v>0</v>
      </c>
      <c r="G112" s="776">
        <f t="shared" si="11"/>
        <v>0.51501305740711523</v>
      </c>
      <c r="H112" s="519">
        <f t="shared" si="12"/>
        <v>23.175587583320183</v>
      </c>
      <c r="I112" s="53"/>
      <c r="J112" s="776">
        <f t="shared" si="13"/>
        <v>1.3905352549992107</v>
      </c>
      <c r="K112" s="527">
        <f>'Recycling - Case 1'!Z168</f>
        <v>4178.1731580591822</v>
      </c>
      <c r="L112" s="1211">
        <f t="shared" si="19"/>
        <v>0.1</v>
      </c>
      <c r="M112" s="1211">
        <f t="shared" si="14"/>
        <v>0.9</v>
      </c>
      <c r="N112" s="53">
        <f t="shared" si="20"/>
        <v>0</v>
      </c>
      <c r="O112" s="53">
        <f t="shared" si="20"/>
        <v>0</v>
      </c>
      <c r="P112" s="178">
        <f t="shared" si="16"/>
        <v>0.33425385264473467</v>
      </c>
      <c r="Q112" s="519">
        <f t="shared" si="5"/>
        <v>15.041423369013057</v>
      </c>
      <c r="R112" s="53"/>
      <c r="S112" s="1213">
        <f t="shared" si="6"/>
        <v>0.90248540214078332</v>
      </c>
      <c r="T112" s="1200">
        <f t="shared" si="9"/>
        <v>0.84926691005184995</v>
      </c>
      <c r="U112" s="1201">
        <f t="shared" si="9"/>
        <v>38.21701095233324</v>
      </c>
      <c r="V112" s="1201">
        <f t="shared" si="9"/>
        <v>0</v>
      </c>
      <c r="W112" s="1202">
        <f t="shared" si="9"/>
        <v>2.2930206571399943</v>
      </c>
    </row>
    <row r="113" spans="1:23">
      <c r="A113" s="123">
        <f>'Input data'!A149</f>
        <v>2049</v>
      </c>
      <c r="B113" s="1210">
        <f>'Recycling - Case 1'!AI129</f>
        <v>6437.663217588939</v>
      </c>
      <c r="C113" s="1211">
        <f t="shared" si="18"/>
        <v>0.1</v>
      </c>
      <c r="D113" s="1211">
        <f t="shared" si="10"/>
        <v>0.9</v>
      </c>
      <c r="E113" s="53">
        <v>0</v>
      </c>
      <c r="F113" s="53">
        <v>0</v>
      </c>
      <c r="G113" s="776">
        <f t="shared" si="11"/>
        <v>0.51501305740711523</v>
      </c>
      <c r="H113" s="519">
        <f t="shared" si="12"/>
        <v>23.175587583320183</v>
      </c>
      <c r="I113" s="53"/>
      <c r="J113" s="776">
        <f t="shared" si="13"/>
        <v>1.3905352549992107</v>
      </c>
      <c r="K113" s="527">
        <f>'Recycling - Case 1'!Z169</f>
        <v>4294.4451207098782</v>
      </c>
      <c r="L113" s="1211">
        <f t="shared" si="19"/>
        <v>0.1</v>
      </c>
      <c r="M113" s="1211">
        <f t="shared" si="14"/>
        <v>0.9</v>
      </c>
      <c r="N113" s="53">
        <f t="shared" si="20"/>
        <v>0</v>
      </c>
      <c r="O113" s="53">
        <f t="shared" si="20"/>
        <v>0</v>
      </c>
      <c r="P113" s="776">
        <f t="shared" si="8"/>
        <v>0.34355560965679027</v>
      </c>
      <c r="Q113" s="519">
        <f t="shared" si="5"/>
        <v>15.460002434555561</v>
      </c>
      <c r="R113" s="53"/>
      <c r="S113" s="1213">
        <f t="shared" si="6"/>
        <v>0.92760014607333374</v>
      </c>
      <c r="T113" s="1200">
        <f t="shared" si="9"/>
        <v>0.85856866706390544</v>
      </c>
      <c r="U113" s="1201">
        <f t="shared" si="9"/>
        <v>38.635590017875742</v>
      </c>
      <c r="V113" s="1201">
        <f t="shared" si="9"/>
        <v>0</v>
      </c>
      <c r="W113" s="1202">
        <f t="shared" si="9"/>
        <v>2.3181354010725443</v>
      </c>
    </row>
    <row r="114" spans="1:23" ht="15" thickBot="1">
      <c r="A114" s="123">
        <f>'Input data'!A150</f>
        <v>2050</v>
      </c>
      <c r="B114" s="1210">
        <f>'Recycling - Case 1'!AI130</f>
        <v>6437.663217588939</v>
      </c>
      <c r="C114" s="578">
        <f t="shared" si="18"/>
        <v>0.1</v>
      </c>
      <c r="D114" s="578">
        <f t="shared" si="10"/>
        <v>0.9</v>
      </c>
      <c r="E114" s="1214">
        <v>0</v>
      </c>
      <c r="F114" s="1214">
        <v>0</v>
      </c>
      <c r="G114" s="776">
        <f t="shared" si="11"/>
        <v>0.51501305740711523</v>
      </c>
      <c r="H114" s="519">
        <f t="shared" si="12"/>
        <v>23.175587583320183</v>
      </c>
      <c r="I114" s="1214"/>
      <c r="J114" s="1215">
        <f t="shared" si="13"/>
        <v>1.3905352549992107</v>
      </c>
      <c r="K114" s="527">
        <f>'Recycling - Case 1'!Z170</f>
        <v>4416.6156843527096</v>
      </c>
      <c r="L114" s="578">
        <f t="shared" si="19"/>
        <v>0.1</v>
      </c>
      <c r="M114" s="578">
        <f t="shared" si="14"/>
        <v>0.9</v>
      </c>
      <c r="N114" s="1214">
        <f t="shared" si="20"/>
        <v>0</v>
      </c>
      <c r="O114" s="1214">
        <f t="shared" si="20"/>
        <v>0</v>
      </c>
      <c r="P114" s="1215">
        <f t="shared" si="8"/>
        <v>0.35332925474821686</v>
      </c>
      <c r="Q114" s="1146">
        <f t="shared" si="5"/>
        <v>15.899816463669755</v>
      </c>
      <c r="R114" s="1214"/>
      <c r="S114" s="1216">
        <f t="shared" si="6"/>
        <v>0.95398898782018526</v>
      </c>
      <c r="T114" s="1217">
        <f t="shared" si="9"/>
        <v>0.86834231215533209</v>
      </c>
      <c r="U114" s="1218">
        <f t="shared" si="9"/>
        <v>39.075404046989938</v>
      </c>
      <c r="V114" s="1218">
        <f t="shared" si="9"/>
        <v>0</v>
      </c>
      <c r="W114" s="1219">
        <f t="shared" si="9"/>
        <v>2.344524242819396</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3707.5237846120858</v>
      </c>
      <c r="C116" s="1211">
        <f>($C$120-$C$80)/($A$120-$A$80)+C80</f>
        <v>6.0000000000000005E-2</v>
      </c>
      <c r="D116" s="1211">
        <f>1-C116</f>
        <v>0.94</v>
      </c>
      <c r="E116" s="53">
        <v>0</v>
      </c>
      <c r="F116" s="53">
        <v>0</v>
      </c>
      <c r="G116" s="776">
        <f>C116*$D$5*B116/1000-E116</f>
        <v>0.17796114166138013</v>
      </c>
      <c r="H116" s="519">
        <f>D116*$D$4*B116/1000-F116</f>
        <v>13.940289430141442</v>
      </c>
      <c r="I116" s="53"/>
      <c r="J116" s="776">
        <f>D116*$D$7*B116/1000</f>
        <v>0.83641736580848647</v>
      </c>
      <c r="K116" s="1212">
        <f>'Recycling - Case 1'!Z178</f>
        <v>1787.3285316252955</v>
      </c>
      <c r="L116" s="1211">
        <f>($L$120-$L$80)/($A$120-$A$80)+L80</f>
        <v>0.1</v>
      </c>
      <c r="M116" s="1211">
        <f>1-L116</f>
        <v>0.9</v>
      </c>
      <c r="N116" s="53">
        <f>N114</f>
        <v>0</v>
      </c>
      <c r="O116" s="53">
        <f>O114</f>
        <v>0</v>
      </c>
      <c r="P116" s="776">
        <f>L116*$D$5*K116/1000-N116</f>
        <v>0.14298628253002366</v>
      </c>
      <c r="Q116" s="519">
        <f t="shared" ref="Q116:Q148" si="21">M116*$D$4*K116/1000-O116</f>
        <v>6.4343827138510639</v>
      </c>
      <c r="R116" s="53"/>
      <c r="S116" s="1213">
        <f t="shared" ref="S116:S148" si="22">M116*$D$7*K116/1000</f>
        <v>0.38606296283106384</v>
      </c>
      <c r="T116" s="1200">
        <f t="shared" ref="T116:W148" si="23">G116+P116</f>
        <v>0.32094742419140376</v>
      </c>
      <c r="U116" s="1201">
        <f t="shared" si="23"/>
        <v>20.374672143992505</v>
      </c>
      <c r="V116" s="1201">
        <f t="shared" si="23"/>
        <v>0</v>
      </c>
      <c r="W116" s="1202">
        <f t="shared" si="23"/>
        <v>1.2224803286395503</v>
      </c>
    </row>
    <row r="117" spans="1:23">
      <c r="A117" s="123">
        <f>'Input data'!A119</f>
        <v>2019</v>
      </c>
      <c r="B117" s="1210">
        <f>'Recycling - Case 1'!AI99</f>
        <v>4010.8726104984025</v>
      </c>
      <c r="C117" s="1211">
        <f>($C$120-$C$80)/($A$120-$A$80)+C116</f>
        <v>7.0000000000000007E-2</v>
      </c>
      <c r="D117" s="1211">
        <f t="shared" ref="D117:D148" si="24">1-C117</f>
        <v>0.92999999999999994</v>
      </c>
      <c r="E117" s="53">
        <v>0</v>
      </c>
      <c r="F117" s="53">
        <v>0</v>
      </c>
      <c r="G117" s="776">
        <f t="shared" ref="G117:G148" si="25">C117*$D$5*B117/1000-E117</f>
        <v>0.22460886618791057</v>
      </c>
      <c r="H117" s="519">
        <f t="shared" ref="H117:H148" si="26">D117*$D$4*B117/1000-F117</f>
        <v>14.920446111054057</v>
      </c>
      <c r="I117" s="53"/>
      <c r="J117" s="776">
        <f t="shared" ref="J117:J133" si="27">D117*$D$7*B117/1000</f>
        <v>0.8952267666632433</v>
      </c>
      <c r="K117" s="1212">
        <f>'Recycling - Case 1'!Z179</f>
        <v>1877.2124191793723</v>
      </c>
      <c r="L117" s="1211">
        <f>($L$120-$L$80)/($A$120-$A$80)+L116</f>
        <v>0.1</v>
      </c>
      <c r="M117" s="1211">
        <f t="shared" ref="M117:M148" si="28">1-L117</f>
        <v>0.9</v>
      </c>
      <c r="N117" s="53">
        <f t="shared" ref="N117:O132" si="29">N115</f>
        <v>0</v>
      </c>
      <c r="O117" s="53">
        <f t="shared" si="29"/>
        <v>0</v>
      </c>
      <c r="P117" s="776">
        <f>L117*$D$5*K117/1000-N117</f>
        <v>0.1501769935343498</v>
      </c>
      <c r="Q117" s="519">
        <f t="shared" si="21"/>
        <v>6.7579647090457398</v>
      </c>
      <c r="R117" s="53"/>
      <c r="S117" s="1213">
        <f t="shared" si="22"/>
        <v>0.40547788254274442</v>
      </c>
      <c r="T117" s="1200">
        <f t="shared" si="23"/>
        <v>0.37478585972226036</v>
      </c>
      <c r="U117" s="1201">
        <f t="shared" si="23"/>
        <v>21.678410820099796</v>
      </c>
      <c r="V117" s="1201">
        <f t="shared" si="23"/>
        <v>0</v>
      </c>
      <c r="W117" s="1202">
        <f t="shared" si="23"/>
        <v>1.3007046492059877</v>
      </c>
    </row>
    <row r="118" spans="1:23">
      <c r="A118" s="123">
        <f>'Input data'!A120</f>
        <v>2020</v>
      </c>
      <c r="B118" s="1210">
        <f>'Recycling - Case 1'!AI100</f>
        <v>4314.2214363847197</v>
      </c>
      <c r="C118" s="1211">
        <f t="shared" ref="C118:C119" si="30">($C$120-$C$80)/($A$120-$A$80)+C117</f>
        <v>0.08</v>
      </c>
      <c r="D118" s="1211">
        <f t="shared" si="24"/>
        <v>0.92</v>
      </c>
      <c r="E118" s="53">
        <v>0</v>
      </c>
      <c r="F118" s="53">
        <v>0</v>
      </c>
      <c r="G118" s="776">
        <f t="shared" si="25"/>
        <v>0.27611017192862208</v>
      </c>
      <c r="H118" s="519">
        <f t="shared" si="26"/>
        <v>15.876334885895769</v>
      </c>
      <c r="I118" s="53"/>
      <c r="J118" s="776">
        <f t="shared" si="27"/>
        <v>0.95258009315374614</v>
      </c>
      <c r="K118" s="1212">
        <f>'Recycling - Case 1'!Z180</f>
        <v>1827.278823547847</v>
      </c>
      <c r="L118" s="1211">
        <f t="shared" ref="L118:L119" si="31">($L$120-$L$80)/($A$120-$A$80)+L117</f>
        <v>0.1</v>
      </c>
      <c r="M118" s="1211">
        <f t="shared" si="28"/>
        <v>0.9</v>
      </c>
      <c r="N118" s="53">
        <f t="shared" si="29"/>
        <v>0</v>
      </c>
      <c r="O118" s="53">
        <f t="shared" si="29"/>
        <v>0</v>
      </c>
      <c r="P118" s="776">
        <f t="shared" ref="P118:P148" si="32">L118*$D$5*K118/1000-N118</f>
        <v>0.14618230588382777</v>
      </c>
      <c r="Q118" s="519">
        <f t="shared" si="21"/>
        <v>6.5782037647722493</v>
      </c>
      <c r="R118" s="53"/>
      <c r="S118" s="1213">
        <f t="shared" si="22"/>
        <v>0.39469222588633496</v>
      </c>
      <c r="T118" s="1200">
        <f t="shared" si="23"/>
        <v>0.42229247781244983</v>
      </c>
      <c r="U118" s="1201">
        <f t="shared" si="23"/>
        <v>22.45453865066802</v>
      </c>
      <c r="V118" s="1201">
        <f t="shared" si="23"/>
        <v>0</v>
      </c>
      <c r="W118" s="1202">
        <f t="shared" si="23"/>
        <v>1.347272319040081</v>
      </c>
    </row>
    <row r="119" spans="1:23">
      <c r="A119" s="123">
        <f>'Input data'!A121</f>
        <v>2021</v>
      </c>
      <c r="B119" s="1210">
        <f>'Recycling - Case 1'!AI101</f>
        <v>4617.5702622710369</v>
      </c>
      <c r="C119" s="1211">
        <f t="shared" si="30"/>
        <v>0.09</v>
      </c>
      <c r="D119" s="1211">
        <f t="shared" si="24"/>
        <v>0.91</v>
      </c>
      <c r="E119" s="53">
        <v>0</v>
      </c>
      <c r="F119" s="53">
        <v>0</v>
      </c>
      <c r="G119" s="776">
        <f t="shared" si="25"/>
        <v>0.33246505888351463</v>
      </c>
      <c r="H119" s="519">
        <f t="shared" si="26"/>
        <v>16.807955754666576</v>
      </c>
      <c r="I119" s="53"/>
      <c r="J119" s="776">
        <f t="shared" si="27"/>
        <v>1.0084773452799944</v>
      </c>
      <c r="K119" s="1212">
        <f>'Recycling - Case 1'!Z181</f>
        <v>1938.0250742794519</v>
      </c>
      <c r="L119" s="1211">
        <f t="shared" si="31"/>
        <v>0.1</v>
      </c>
      <c r="M119" s="1211">
        <f t="shared" si="28"/>
        <v>0.9</v>
      </c>
      <c r="N119" s="53">
        <f t="shared" si="29"/>
        <v>0</v>
      </c>
      <c r="O119" s="53">
        <f t="shared" si="29"/>
        <v>0</v>
      </c>
      <c r="P119" s="776">
        <f t="shared" si="32"/>
        <v>0.15504200594235618</v>
      </c>
      <c r="Q119" s="519">
        <f t="shared" si="21"/>
        <v>6.9768902674060271</v>
      </c>
      <c r="R119" s="53"/>
      <c r="S119" s="1213">
        <f t="shared" si="22"/>
        <v>0.41861341604436159</v>
      </c>
      <c r="T119" s="1200">
        <f t="shared" si="23"/>
        <v>0.48750706482587081</v>
      </c>
      <c r="U119" s="1201">
        <f t="shared" si="23"/>
        <v>23.784846022072603</v>
      </c>
      <c r="V119" s="1201">
        <f t="shared" si="23"/>
        <v>0</v>
      </c>
      <c r="W119" s="1202">
        <f t="shared" si="23"/>
        <v>1.427090761324356</v>
      </c>
    </row>
    <row r="120" spans="1:23">
      <c r="A120" s="123">
        <f>'Input data'!A122</f>
        <v>2022</v>
      </c>
      <c r="B120" s="1210">
        <f>'Recycling - Case 1'!AI102</f>
        <v>4920.9190881573541</v>
      </c>
      <c r="C120" s="1211">
        <f>'Recycling - Case 1'!C31</f>
        <v>0.1</v>
      </c>
      <c r="D120" s="1211">
        <f t="shared" si="24"/>
        <v>0.9</v>
      </c>
      <c r="E120" s="53">
        <v>0</v>
      </c>
      <c r="F120" s="53">
        <v>0</v>
      </c>
      <c r="G120" s="776">
        <f t="shared" si="25"/>
        <v>0.3936735270525884</v>
      </c>
      <c r="H120" s="519">
        <f t="shared" si="26"/>
        <v>17.715308717366476</v>
      </c>
      <c r="I120" s="53"/>
      <c r="J120" s="776">
        <f t="shared" si="27"/>
        <v>1.0629185230419884</v>
      </c>
      <c r="K120" s="1212">
        <f>'Recycling - Case 1'!Z182</f>
        <v>2047.3374109577192</v>
      </c>
      <c r="L120" s="1211">
        <f>'Recycling - Case 1'!C31</f>
        <v>0.1</v>
      </c>
      <c r="M120" s="1211">
        <f t="shared" si="28"/>
        <v>0.9</v>
      </c>
      <c r="N120" s="53">
        <f t="shared" si="29"/>
        <v>0</v>
      </c>
      <c r="O120" s="53">
        <f t="shared" si="29"/>
        <v>0</v>
      </c>
      <c r="P120" s="776">
        <f t="shared" si="32"/>
        <v>0.16378699287661758</v>
      </c>
      <c r="Q120" s="519">
        <f t="shared" si="21"/>
        <v>7.3704146794477889</v>
      </c>
      <c r="R120" s="53"/>
      <c r="S120" s="1213">
        <f t="shared" si="22"/>
        <v>0.44222488076686733</v>
      </c>
      <c r="T120" s="1200">
        <f t="shared" si="23"/>
        <v>0.55746051992920598</v>
      </c>
      <c r="U120" s="1201">
        <f t="shared" si="23"/>
        <v>25.085723396814267</v>
      </c>
      <c r="V120" s="1201">
        <f t="shared" si="23"/>
        <v>0</v>
      </c>
      <c r="W120" s="1202">
        <f t="shared" si="23"/>
        <v>1.5051434038088558</v>
      </c>
    </row>
    <row r="121" spans="1:23">
      <c r="A121" s="123">
        <f>'Input data'!A123</f>
        <v>2023</v>
      </c>
      <c r="B121" s="1210">
        <f>'Recycling - Case 1'!AI103</f>
        <v>5224.2679140436703</v>
      </c>
      <c r="C121" s="1211">
        <f>C120</f>
        <v>0.1</v>
      </c>
      <c r="D121" s="1211">
        <f t="shared" si="24"/>
        <v>0.9</v>
      </c>
      <c r="E121" s="53">
        <v>0</v>
      </c>
      <c r="F121" s="53">
        <v>0</v>
      </c>
      <c r="G121" s="776">
        <f t="shared" si="25"/>
        <v>0.41794143312349369</v>
      </c>
      <c r="H121" s="519">
        <f t="shared" si="26"/>
        <v>18.807364490557216</v>
      </c>
      <c r="I121" s="53"/>
      <c r="J121" s="776">
        <f t="shared" si="27"/>
        <v>1.1284418694334328</v>
      </c>
      <c r="K121" s="1212">
        <f>'Recycling - Case 1'!Z183</f>
        <v>2156.9702057009367</v>
      </c>
      <c r="L121" s="1211">
        <f>L120</f>
        <v>0.1</v>
      </c>
      <c r="M121" s="1211">
        <f t="shared" si="28"/>
        <v>0.9</v>
      </c>
      <c r="N121" s="53">
        <f t="shared" si="29"/>
        <v>0</v>
      </c>
      <c r="O121" s="53">
        <f t="shared" si="29"/>
        <v>0</v>
      </c>
      <c r="P121" s="776">
        <f t="shared" si="32"/>
        <v>0.17255761645607498</v>
      </c>
      <c r="Q121" s="519">
        <f t="shared" si="21"/>
        <v>7.7650927405233725</v>
      </c>
      <c r="R121" s="53"/>
      <c r="S121" s="1213">
        <f t="shared" si="22"/>
        <v>0.46590556443140235</v>
      </c>
      <c r="T121" s="1200">
        <f t="shared" si="23"/>
        <v>0.59049904957956867</v>
      </c>
      <c r="U121" s="1201">
        <f t="shared" si="23"/>
        <v>26.572457231080588</v>
      </c>
      <c r="V121" s="1201">
        <f t="shared" si="23"/>
        <v>0</v>
      </c>
      <c r="W121" s="1202">
        <f t="shared" si="23"/>
        <v>1.5943474338648351</v>
      </c>
    </row>
    <row r="122" spans="1:23">
      <c r="A122" s="123">
        <f>'Input data'!A124</f>
        <v>2024</v>
      </c>
      <c r="B122" s="1210">
        <f>'Recycling - Case 1'!AI104</f>
        <v>5527.6167399299875</v>
      </c>
      <c r="C122" s="1211">
        <f t="shared" ref="C122:C148" si="33">C121</f>
        <v>0.1</v>
      </c>
      <c r="D122" s="1211">
        <f t="shared" si="24"/>
        <v>0.9</v>
      </c>
      <c r="E122" s="53">
        <v>0</v>
      </c>
      <c r="F122" s="53">
        <v>0</v>
      </c>
      <c r="G122" s="776">
        <f t="shared" si="25"/>
        <v>0.44220933919439909</v>
      </c>
      <c r="H122" s="519">
        <f t="shared" si="26"/>
        <v>19.899420263747952</v>
      </c>
      <c r="I122" s="53"/>
      <c r="J122" s="776">
        <f t="shared" si="27"/>
        <v>1.1939652158248772</v>
      </c>
      <c r="K122" s="1212">
        <f>'Recycling - Case 1'!Z184</f>
        <v>2265.3809146032418</v>
      </c>
      <c r="L122" s="1211">
        <f t="shared" ref="L122:L148" si="34">L121</f>
        <v>0.1</v>
      </c>
      <c r="M122" s="1211">
        <f t="shared" si="28"/>
        <v>0.9</v>
      </c>
      <c r="N122" s="53">
        <f t="shared" si="29"/>
        <v>0</v>
      </c>
      <c r="O122" s="53">
        <f t="shared" si="29"/>
        <v>0</v>
      </c>
      <c r="P122" s="776">
        <f t="shared" si="32"/>
        <v>0.18123047316825938</v>
      </c>
      <c r="Q122" s="519">
        <f t="shared" si="21"/>
        <v>8.1553712925716706</v>
      </c>
      <c r="R122" s="53"/>
      <c r="S122" s="1213">
        <f t="shared" si="22"/>
        <v>0.48932227755430024</v>
      </c>
      <c r="T122" s="1200">
        <f t="shared" si="23"/>
        <v>0.62343981236265844</v>
      </c>
      <c r="U122" s="1201">
        <f t="shared" si="23"/>
        <v>28.054791556319621</v>
      </c>
      <c r="V122" s="1201">
        <f t="shared" si="23"/>
        <v>0</v>
      </c>
      <c r="W122" s="1202">
        <f t="shared" si="23"/>
        <v>1.6832874933791775</v>
      </c>
    </row>
    <row r="123" spans="1:23">
      <c r="A123" s="123">
        <f>'Input data'!A125</f>
        <v>2025</v>
      </c>
      <c r="B123" s="1210">
        <f>'Recycling - Case 1'!AI105</f>
        <v>5830.9655658163047</v>
      </c>
      <c r="C123" s="1211">
        <f t="shared" si="33"/>
        <v>0.1</v>
      </c>
      <c r="D123" s="1211">
        <f t="shared" si="24"/>
        <v>0.9</v>
      </c>
      <c r="E123" s="53">
        <v>0</v>
      </c>
      <c r="F123" s="53">
        <v>0</v>
      </c>
      <c r="G123" s="776">
        <f t="shared" si="25"/>
        <v>0.46647724526530449</v>
      </c>
      <c r="H123" s="519">
        <f t="shared" si="26"/>
        <v>20.991476036938696</v>
      </c>
      <c r="I123" s="53"/>
      <c r="J123" s="776">
        <f t="shared" si="27"/>
        <v>1.2594885622163217</v>
      </c>
      <c r="K123" s="1212">
        <f>'Recycling - Case 1'!Z185</f>
        <v>2375.2092430810053</v>
      </c>
      <c r="L123" s="1211">
        <f t="shared" si="34"/>
        <v>0.1</v>
      </c>
      <c r="M123" s="1211">
        <f t="shared" si="28"/>
        <v>0.9</v>
      </c>
      <c r="N123" s="53">
        <f t="shared" si="29"/>
        <v>0</v>
      </c>
      <c r="O123" s="53">
        <f t="shared" si="29"/>
        <v>0</v>
      </c>
      <c r="P123" s="776">
        <f t="shared" si="32"/>
        <v>0.19001673944648048</v>
      </c>
      <c r="Q123" s="519">
        <f t="shared" si="21"/>
        <v>8.5507532750916191</v>
      </c>
      <c r="R123" s="53"/>
      <c r="S123" s="1213">
        <f t="shared" si="22"/>
        <v>0.51304519650549718</v>
      </c>
      <c r="T123" s="1200">
        <f t="shared" si="23"/>
        <v>0.65649398471178499</v>
      </c>
      <c r="U123" s="1201">
        <f t="shared" si="23"/>
        <v>29.542229312030315</v>
      </c>
      <c r="V123" s="1201">
        <f t="shared" si="23"/>
        <v>0</v>
      </c>
      <c r="W123" s="1202">
        <f t="shared" si="23"/>
        <v>1.7725337587218188</v>
      </c>
    </row>
    <row r="124" spans="1:23">
      <c r="A124" s="123">
        <f>'Input data'!A126</f>
        <v>2026</v>
      </c>
      <c r="B124" s="1210">
        <f>'Recycling - Case 1'!AI106</f>
        <v>6134.3143917026209</v>
      </c>
      <c r="C124" s="1211">
        <f t="shared" si="33"/>
        <v>0.1</v>
      </c>
      <c r="D124" s="1211">
        <f t="shared" si="24"/>
        <v>0.9</v>
      </c>
      <c r="E124" s="53">
        <v>0</v>
      </c>
      <c r="F124" s="53">
        <v>0</v>
      </c>
      <c r="G124" s="776">
        <f t="shared" si="25"/>
        <v>0.49074515133620972</v>
      </c>
      <c r="H124" s="519">
        <f t="shared" si="26"/>
        <v>22.083531810129436</v>
      </c>
      <c r="I124" s="53"/>
      <c r="J124" s="776">
        <f t="shared" si="27"/>
        <v>1.3250119086077661</v>
      </c>
      <c r="K124" s="1212">
        <f>'Recycling - Case 1'!Z186</f>
        <v>2491.5390682324214</v>
      </c>
      <c r="L124" s="1211">
        <f t="shared" si="34"/>
        <v>0.1</v>
      </c>
      <c r="M124" s="1211">
        <f t="shared" si="28"/>
        <v>0.9</v>
      </c>
      <c r="N124" s="53">
        <f t="shared" si="29"/>
        <v>0</v>
      </c>
      <c r="O124" s="53">
        <f t="shared" si="29"/>
        <v>0</v>
      </c>
      <c r="P124" s="776">
        <f t="shared" si="32"/>
        <v>0.19932312545859376</v>
      </c>
      <c r="Q124" s="519">
        <f t="shared" si="21"/>
        <v>8.9695406456367177</v>
      </c>
      <c r="R124" s="53"/>
      <c r="S124" s="1213">
        <f t="shared" si="22"/>
        <v>0.53817243873820297</v>
      </c>
      <c r="T124" s="1200">
        <f t="shared" si="23"/>
        <v>0.69006827679480343</v>
      </c>
      <c r="U124" s="1201">
        <f t="shared" si="23"/>
        <v>31.053072455766156</v>
      </c>
      <c r="V124" s="1201">
        <f t="shared" si="23"/>
        <v>0</v>
      </c>
      <c r="W124" s="1202">
        <f t="shared" si="23"/>
        <v>1.863184347345969</v>
      </c>
    </row>
    <row r="125" spans="1:23">
      <c r="A125" s="123">
        <f>'Input data'!A127</f>
        <v>2027</v>
      </c>
      <c r="B125" s="1210">
        <f>'Recycling - Case 1'!AI107</f>
        <v>6437.663217588939</v>
      </c>
      <c r="C125" s="1211">
        <f t="shared" si="33"/>
        <v>0.1</v>
      </c>
      <c r="D125" s="1211">
        <f t="shared" si="24"/>
        <v>0.9</v>
      </c>
      <c r="E125" s="53">
        <v>0</v>
      </c>
      <c r="F125" s="53">
        <v>0</v>
      </c>
      <c r="G125" s="776">
        <f t="shared" si="25"/>
        <v>0.51501305740711523</v>
      </c>
      <c r="H125" s="519">
        <f t="shared" si="26"/>
        <v>23.175587583320183</v>
      </c>
      <c r="I125" s="53"/>
      <c r="J125" s="776">
        <f t="shared" si="27"/>
        <v>1.3905352549992107</v>
      </c>
      <c r="K125" s="1212">
        <f>'Recycling - Case 1'!Z187</f>
        <v>2607.4669629294931</v>
      </c>
      <c r="L125" s="1211">
        <f t="shared" si="34"/>
        <v>0.1</v>
      </c>
      <c r="M125" s="1211">
        <f t="shared" si="28"/>
        <v>0.9</v>
      </c>
      <c r="N125" s="53">
        <f t="shared" si="29"/>
        <v>0</v>
      </c>
      <c r="O125" s="53">
        <f t="shared" si="29"/>
        <v>0</v>
      </c>
      <c r="P125" s="776">
        <f t="shared" si="32"/>
        <v>0.20859735703435947</v>
      </c>
      <c r="Q125" s="519">
        <f t="shared" si="21"/>
        <v>9.3868810665461755</v>
      </c>
      <c r="R125" s="53"/>
      <c r="S125" s="1213">
        <f t="shared" si="22"/>
        <v>0.56321286399277048</v>
      </c>
      <c r="T125" s="1200">
        <f t="shared" si="23"/>
        <v>0.72361041444147467</v>
      </c>
      <c r="U125" s="1201">
        <f t="shared" si="23"/>
        <v>32.562468649866361</v>
      </c>
      <c r="V125" s="1201">
        <f t="shared" si="23"/>
        <v>0</v>
      </c>
      <c r="W125" s="1202">
        <f t="shared" si="23"/>
        <v>1.9537481189919812</v>
      </c>
    </row>
    <row r="126" spans="1:23">
      <c r="A126" s="123">
        <f>'Input data'!A128</f>
        <v>2028</v>
      </c>
      <c r="B126" s="1210">
        <f>'Recycling - Case 1'!AI108</f>
        <v>6437.663217588939</v>
      </c>
      <c r="C126" s="1211">
        <f t="shared" si="33"/>
        <v>0.1</v>
      </c>
      <c r="D126" s="1211">
        <f t="shared" si="24"/>
        <v>0.9</v>
      </c>
      <c r="E126" s="53">
        <v>0</v>
      </c>
      <c r="F126" s="53">
        <v>0</v>
      </c>
      <c r="G126" s="776">
        <f t="shared" si="25"/>
        <v>0.51501305740711523</v>
      </c>
      <c r="H126" s="519">
        <f t="shared" si="26"/>
        <v>23.175587583320183</v>
      </c>
      <c r="I126" s="53"/>
      <c r="J126" s="776">
        <f t="shared" si="27"/>
        <v>1.3905352549992107</v>
      </c>
      <c r="K126" s="1212">
        <f>'Recycling - Case 1'!Z188</f>
        <v>2650.1584949720245</v>
      </c>
      <c r="L126" s="1211">
        <f t="shared" si="34"/>
        <v>0.1</v>
      </c>
      <c r="M126" s="1211">
        <f t="shared" si="28"/>
        <v>0.9</v>
      </c>
      <c r="N126" s="53">
        <f t="shared" si="29"/>
        <v>0</v>
      </c>
      <c r="O126" s="53">
        <f t="shared" si="29"/>
        <v>0</v>
      </c>
      <c r="P126" s="776">
        <f t="shared" si="32"/>
        <v>0.21201267959776199</v>
      </c>
      <c r="Q126" s="519">
        <f t="shared" si="21"/>
        <v>9.5405705818992885</v>
      </c>
      <c r="R126" s="53"/>
      <c r="S126" s="1213">
        <f t="shared" si="22"/>
        <v>0.57243423491395728</v>
      </c>
      <c r="T126" s="1200">
        <f t="shared" si="23"/>
        <v>0.72702573700487716</v>
      </c>
      <c r="U126" s="1201">
        <f t="shared" si="23"/>
        <v>32.716158165219468</v>
      </c>
      <c r="V126" s="1201">
        <f t="shared" si="23"/>
        <v>0</v>
      </c>
      <c r="W126" s="1202">
        <f t="shared" si="23"/>
        <v>1.962969489913168</v>
      </c>
    </row>
    <row r="127" spans="1:23">
      <c r="A127" s="123">
        <f>'Input data'!A129</f>
        <v>2029</v>
      </c>
      <c r="B127" s="1210">
        <f>'Recycling - Case 1'!AI109</f>
        <v>6437.663217588939</v>
      </c>
      <c r="C127" s="1211">
        <f t="shared" si="33"/>
        <v>0.1</v>
      </c>
      <c r="D127" s="1211">
        <f t="shared" si="24"/>
        <v>0.9</v>
      </c>
      <c r="E127" s="53">
        <v>0</v>
      </c>
      <c r="F127" s="53">
        <v>0</v>
      </c>
      <c r="G127" s="776">
        <f t="shared" si="25"/>
        <v>0.51501305740711523</v>
      </c>
      <c r="H127" s="519">
        <f t="shared" si="26"/>
        <v>23.175587583320183</v>
      </c>
      <c r="I127" s="53"/>
      <c r="J127" s="776">
        <f t="shared" si="27"/>
        <v>1.3905352549992107</v>
      </c>
      <c r="K127" s="1212">
        <f>'Recycling - Case 1'!Z189</f>
        <v>2694.2622150973871</v>
      </c>
      <c r="L127" s="1211">
        <f t="shared" si="34"/>
        <v>0.1</v>
      </c>
      <c r="M127" s="1211">
        <f t="shared" si="28"/>
        <v>0.9</v>
      </c>
      <c r="N127" s="53">
        <f t="shared" si="29"/>
        <v>0</v>
      </c>
      <c r="O127" s="53">
        <f t="shared" si="29"/>
        <v>0</v>
      </c>
      <c r="P127" s="776">
        <f t="shared" si="32"/>
        <v>0.215540977207791</v>
      </c>
      <c r="Q127" s="519">
        <f t="shared" si="21"/>
        <v>9.6993439743505938</v>
      </c>
      <c r="R127" s="53"/>
      <c r="S127" s="1213">
        <f t="shared" si="22"/>
        <v>0.58196063846103563</v>
      </c>
      <c r="T127" s="1200">
        <f t="shared" si="23"/>
        <v>0.7305540346149062</v>
      </c>
      <c r="U127" s="1201">
        <f t="shared" si="23"/>
        <v>32.874931557670777</v>
      </c>
      <c r="V127" s="1201">
        <f t="shared" si="23"/>
        <v>0</v>
      </c>
      <c r="W127" s="1202">
        <f t="shared" si="23"/>
        <v>1.9724958934602463</v>
      </c>
    </row>
    <row r="128" spans="1:23">
      <c r="A128" s="123">
        <f>'Input data'!A130</f>
        <v>2030</v>
      </c>
      <c r="B128" s="1210">
        <f>'Recycling - Case 1'!AI110</f>
        <v>6437.663217588939</v>
      </c>
      <c r="C128" s="1211">
        <f t="shared" si="33"/>
        <v>0.1</v>
      </c>
      <c r="D128" s="1211">
        <f t="shared" si="24"/>
        <v>0.9</v>
      </c>
      <c r="E128" s="53">
        <v>0</v>
      </c>
      <c r="F128" s="53">
        <v>0</v>
      </c>
      <c r="G128" s="776">
        <f t="shared" si="25"/>
        <v>0.51501305740711523</v>
      </c>
      <c r="H128" s="519">
        <f t="shared" si="26"/>
        <v>23.175587583320183</v>
      </c>
      <c r="I128" s="53"/>
      <c r="J128" s="776">
        <f t="shared" si="27"/>
        <v>1.3905352549992107</v>
      </c>
      <c r="K128" s="1212">
        <f>'Recycling - Case 1'!Z190</f>
        <v>2739.9084791286127</v>
      </c>
      <c r="L128" s="1211">
        <f t="shared" si="34"/>
        <v>0.1</v>
      </c>
      <c r="M128" s="1211">
        <f t="shared" si="28"/>
        <v>0.9</v>
      </c>
      <c r="N128" s="53">
        <f t="shared" si="29"/>
        <v>0</v>
      </c>
      <c r="O128" s="53">
        <f t="shared" si="29"/>
        <v>0</v>
      </c>
      <c r="P128" s="776">
        <f t="shared" si="32"/>
        <v>0.21919267833028905</v>
      </c>
      <c r="Q128" s="519">
        <f t="shared" si="21"/>
        <v>9.8636705248630054</v>
      </c>
      <c r="R128" s="53"/>
      <c r="S128" s="1213">
        <f t="shared" si="22"/>
        <v>0.59182023149178031</v>
      </c>
      <c r="T128" s="1200">
        <f t="shared" si="23"/>
        <v>0.73420573573740433</v>
      </c>
      <c r="U128" s="1201">
        <f t="shared" si="23"/>
        <v>33.039258108183191</v>
      </c>
      <c r="V128" s="1201">
        <f t="shared" si="23"/>
        <v>0</v>
      </c>
      <c r="W128" s="1202">
        <f t="shared" si="23"/>
        <v>1.9823554864909911</v>
      </c>
    </row>
    <row r="129" spans="1:23">
      <c r="A129" s="123">
        <f>'Input data'!A131</f>
        <v>2031</v>
      </c>
      <c r="B129" s="1210">
        <f>'Recycling - Case 1'!AI111</f>
        <v>6437.663217588939</v>
      </c>
      <c r="C129" s="1211">
        <f t="shared" si="33"/>
        <v>0.1</v>
      </c>
      <c r="D129" s="1211">
        <f t="shared" si="24"/>
        <v>0.9</v>
      </c>
      <c r="E129" s="53">
        <v>0</v>
      </c>
      <c r="F129" s="53">
        <v>0</v>
      </c>
      <c r="G129" s="776">
        <f t="shared" si="25"/>
        <v>0.51501305740711523</v>
      </c>
      <c r="H129" s="519">
        <f t="shared" si="26"/>
        <v>23.175587583320183</v>
      </c>
      <c r="I129" s="53"/>
      <c r="J129" s="776">
        <f t="shared" si="27"/>
        <v>1.3905352549992107</v>
      </c>
      <c r="K129" s="1212">
        <f>'Recycling - Case 1'!Z191</f>
        <v>2794.7176712203664</v>
      </c>
      <c r="L129" s="1211">
        <f t="shared" si="34"/>
        <v>0.1</v>
      </c>
      <c r="M129" s="1211">
        <f t="shared" si="28"/>
        <v>0.9</v>
      </c>
      <c r="N129" s="53">
        <f t="shared" si="29"/>
        <v>0</v>
      </c>
      <c r="O129" s="53">
        <f t="shared" si="29"/>
        <v>0</v>
      </c>
      <c r="P129" s="776">
        <f t="shared" si="32"/>
        <v>0.22357741369762935</v>
      </c>
      <c r="Q129" s="519">
        <f t="shared" si="21"/>
        <v>10.060983616393319</v>
      </c>
      <c r="R129" s="53"/>
      <c r="S129" s="1213">
        <f t="shared" si="22"/>
        <v>0.60365901698359914</v>
      </c>
      <c r="T129" s="1200">
        <f t="shared" si="23"/>
        <v>0.73859047110474463</v>
      </c>
      <c r="U129" s="1201">
        <f t="shared" si="23"/>
        <v>33.236571199713502</v>
      </c>
      <c r="V129" s="1201">
        <f t="shared" si="23"/>
        <v>0</v>
      </c>
      <c r="W129" s="1202">
        <f t="shared" si="23"/>
        <v>1.9941942719828099</v>
      </c>
    </row>
    <row r="130" spans="1:23">
      <c r="A130" s="123">
        <f>'Input data'!A132</f>
        <v>2032</v>
      </c>
      <c r="B130" s="1210">
        <f>'Recycling - Case 1'!AI112</f>
        <v>6437.663217588939</v>
      </c>
      <c r="C130" s="1211">
        <f t="shared" si="33"/>
        <v>0.1</v>
      </c>
      <c r="D130" s="1211">
        <f t="shared" si="24"/>
        <v>0.9</v>
      </c>
      <c r="E130" s="53">
        <v>0</v>
      </c>
      <c r="F130" s="53">
        <v>0</v>
      </c>
      <c r="G130" s="776">
        <f t="shared" si="25"/>
        <v>0.51501305740711523</v>
      </c>
      <c r="H130" s="519">
        <f t="shared" si="26"/>
        <v>23.175587583320183</v>
      </c>
      <c r="I130" s="53"/>
      <c r="J130" s="776">
        <f t="shared" si="27"/>
        <v>1.3905352549992107</v>
      </c>
      <c r="K130" s="1212">
        <f>'Recycling - Case 1'!Z192</f>
        <v>2846.9523358072647</v>
      </c>
      <c r="L130" s="1211">
        <f t="shared" si="34"/>
        <v>0.1</v>
      </c>
      <c r="M130" s="1211">
        <f t="shared" si="28"/>
        <v>0.9</v>
      </c>
      <c r="N130" s="53">
        <f t="shared" si="29"/>
        <v>0</v>
      </c>
      <c r="O130" s="53">
        <f t="shared" si="29"/>
        <v>0</v>
      </c>
      <c r="P130" s="776">
        <f t="shared" si="32"/>
        <v>0.22775618686458121</v>
      </c>
      <c r="Q130" s="519">
        <f t="shared" si="21"/>
        <v>10.249028408906153</v>
      </c>
      <c r="R130" s="53"/>
      <c r="S130" s="1213">
        <f t="shared" si="22"/>
        <v>0.61494170453436914</v>
      </c>
      <c r="T130" s="1200">
        <f t="shared" si="23"/>
        <v>0.74276924427169644</v>
      </c>
      <c r="U130" s="1201">
        <f t="shared" si="23"/>
        <v>33.424615992226336</v>
      </c>
      <c r="V130" s="1201">
        <f t="shared" si="23"/>
        <v>0</v>
      </c>
      <c r="W130" s="1202">
        <f t="shared" si="23"/>
        <v>2.00547695953358</v>
      </c>
    </row>
    <row r="131" spans="1:23">
      <c r="A131" s="123">
        <f>'Input data'!A133</f>
        <v>2033</v>
      </c>
      <c r="B131" s="1210">
        <f>'Recycling - Case 1'!AI113</f>
        <v>6437.663217588939</v>
      </c>
      <c r="C131" s="1211">
        <f t="shared" si="33"/>
        <v>0.1</v>
      </c>
      <c r="D131" s="1211">
        <f t="shared" si="24"/>
        <v>0.9</v>
      </c>
      <c r="E131" s="53">
        <v>0</v>
      </c>
      <c r="F131" s="53">
        <v>0</v>
      </c>
      <c r="G131" s="776">
        <f t="shared" si="25"/>
        <v>0.51501305740711523</v>
      </c>
      <c r="H131" s="519">
        <f t="shared" si="26"/>
        <v>23.175587583320183</v>
      </c>
      <c r="I131" s="53"/>
      <c r="J131" s="776">
        <f t="shared" si="27"/>
        <v>1.3905352549992107</v>
      </c>
      <c r="K131" s="1212">
        <f>'Recycling - Case 1'!Z193</f>
        <v>2904.9661085485213</v>
      </c>
      <c r="L131" s="1211">
        <f t="shared" si="34"/>
        <v>0.1</v>
      </c>
      <c r="M131" s="1211">
        <f t="shared" si="28"/>
        <v>0.9</v>
      </c>
      <c r="N131" s="53">
        <f t="shared" si="29"/>
        <v>0</v>
      </c>
      <c r="O131" s="53">
        <f t="shared" si="29"/>
        <v>0</v>
      </c>
      <c r="P131" s="776">
        <f t="shared" si="32"/>
        <v>0.23239728868388176</v>
      </c>
      <c r="Q131" s="519">
        <f t="shared" si="21"/>
        <v>10.457877990774678</v>
      </c>
      <c r="R131" s="53"/>
      <c r="S131" s="1213">
        <f t="shared" si="22"/>
        <v>0.62747267944648055</v>
      </c>
      <c r="T131" s="1200">
        <f t="shared" si="23"/>
        <v>0.74741034609099699</v>
      </c>
      <c r="U131" s="1201">
        <f t="shared" si="23"/>
        <v>33.633465574094863</v>
      </c>
      <c r="V131" s="1201">
        <f t="shared" si="23"/>
        <v>0</v>
      </c>
      <c r="W131" s="1202">
        <f t="shared" si="23"/>
        <v>2.0180079344456914</v>
      </c>
    </row>
    <row r="132" spans="1:23">
      <c r="A132" s="123">
        <f>'Input data'!A134</f>
        <v>2034</v>
      </c>
      <c r="B132" s="1210">
        <f>'Recycling - Case 1'!AI114</f>
        <v>6437.663217588939</v>
      </c>
      <c r="C132" s="1211">
        <f t="shared" si="33"/>
        <v>0.1</v>
      </c>
      <c r="D132" s="1211">
        <f t="shared" si="24"/>
        <v>0.9</v>
      </c>
      <c r="E132" s="53">
        <v>0</v>
      </c>
      <c r="F132" s="53">
        <v>0</v>
      </c>
      <c r="G132" s="776">
        <f t="shared" si="25"/>
        <v>0.51501305740711523</v>
      </c>
      <c r="H132" s="519">
        <f t="shared" si="26"/>
        <v>23.175587583320183</v>
      </c>
      <c r="I132" s="53"/>
      <c r="J132" s="776">
        <f t="shared" si="27"/>
        <v>1.3905352549992107</v>
      </c>
      <c r="K132" s="1212">
        <f>'Recycling - Case 1'!Z194</f>
        <v>2966.9991858332214</v>
      </c>
      <c r="L132" s="1211">
        <f t="shared" si="34"/>
        <v>0.1</v>
      </c>
      <c r="M132" s="1211">
        <f t="shared" si="28"/>
        <v>0.9</v>
      </c>
      <c r="N132" s="53">
        <f t="shared" si="29"/>
        <v>0</v>
      </c>
      <c r="O132" s="53">
        <f t="shared" si="29"/>
        <v>0</v>
      </c>
      <c r="P132" s="776">
        <f t="shared" si="32"/>
        <v>0.23735993486665777</v>
      </c>
      <c r="Q132" s="519">
        <f t="shared" si="21"/>
        <v>10.681197068999598</v>
      </c>
      <c r="R132" s="53"/>
      <c r="S132" s="1213">
        <f t="shared" si="22"/>
        <v>0.64087182413997579</v>
      </c>
      <c r="T132" s="1200">
        <f t="shared" si="23"/>
        <v>0.75237299227377297</v>
      </c>
      <c r="U132" s="1201">
        <f t="shared" si="23"/>
        <v>33.856784652319782</v>
      </c>
      <c r="V132" s="1201">
        <f t="shared" si="23"/>
        <v>0</v>
      </c>
      <c r="W132" s="1202">
        <f t="shared" si="23"/>
        <v>2.0314070791391865</v>
      </c>
    </row>
    <row r="133" spans="1:23">
      <c r="A133" s="123">
        <f>'Input data'!A135</f>
        <v>2035</v>
      </c>
      <c r="B133" s="1210">
        <f>'Recycling - Case 1'!AI115</f>
        <v>6437.663217588939</v>
      </c>
      <c r="C133" s="1211">
        <f t="shared" si="33"/>
        <v>0.1</v>
      </c>
      <c r="D133" s="1211">
        <f t="shared" si="24"/>
        <v>0.9</v>
      </c>
      <c r="E133" s="53">
        <v>0</v>
      </c>
      <c r="F133" s="53">
        <v>0</v>
      </c>
      <c r="G133" s="776">
        <f t="shared" si="25"/>
        <v>0.51501305740711523</v>
      </c>
      <c r="H133" s="519">
        <f t="shared" si="26"/>
        <v>23.175587583320183</v>
      </c>
      <c r="I133" s="53"/>
      <c r="J133" s="776">
        <f t="shared" si="27"/>
        <v>1.3905352549992107</v>
      </c>
      <c r="K133" s="1212">
        <f>'Recycling - Case 1'!Z195</f>
        <v>3033.3014163221746</v>
      </c>
      <c r="L133" s="1211">
        <f t="shared" si="34"/>
        <v>0.1</v>
      </c>
      <c r="M133" s="1211">
        <f t="shared" si="28"/>
        <v>0.9</v>
      </c>
      <c r="N133" s="53">
        <f t="shared" ref="N133:O148" si="35">N131</f>
        <v>0</v>
      </c>
      <c r="O133" s="53">
        <f t="shared" si="35"/>
        <v>0</v>
      </c>
      <c r="P133" s="776">
        <f t="shared" si="32"/>
        <v>0.242664113305774</v>
      </c>
      <c r="Q133" s="519">
        <f t="shared" si="21"/>
        <v>10.919885098759829</v>
      </c>
      <c r="R133" s="53"/>
      <c r="S133" s="1213">
        <f t="shared" si="22"/>
        <v>0.65519310592558977</v>
      </c>
      <c r="T133" s="1200">
        <f t="shared" si="23"/>
        <v>0.7576771707128892</v>
      </c>
      <c r="U133" s="1201">
        <f t="shared" si="23"/>
        <v>34.095472682080015</v>
      </c>
      <c r="V133" s="1201">
        <f t="shared" si="23"/>
        <v>0</v>
      </c>
      <c r="W133" s="1202">
        <f t="shared" si="23"/>
        <v>2.0457283609248007</v>
      </c>
    </row>
    <row r="134" spans="1:23">
      <c r="A134" s="123">
        <f>'Input data'!A136</f>
        <v>2036</v>
      </c>
      <c r="B134" s="1210">
        <f>'Recycling - Case 1'!AI116</f>
        <v>6437.663217588939</v>
      </c>
      <c r="C134" s="1211">
        <f t="shared" si="33"/>
        <v>0.1</v>
      </c>
      <c r="D134" s="1211">
        <f t="shared" si="24"/>
        <v>0.9</v>
      </c>
      <c r="E134" s="53">
        <v>0</v>
      </c>
      <c r="F134" s="53">
        <v>0</v>
      </c>
      <c r="G134" s="776">
        <f t="shared" si="25"/>
        <v>0.51501305740711523</v>
      </c>
      <c r="H134" s="519">
        <f t="shared" si="26"/>
        <v>23.175587583320183</v>
      </c>
      <c r="I134" s="53"/>
      <c r="J134" s="776">
        <f>D134*$D$7*B134/1000</f>
        <v>1.3905352549992107</v>
      </c>
      <c r="K134" s="1212">
        <f>'Recycling - Case 1'!Z196</f>
        <v>3101.5644156492149</v>
      </c>
      <c r="L134" s="1211">
        <f t="shared" si="34"/>
        <v>0.1</v>
      </c>
      <c r="M134" s="1211">
        <f t="shared" si="28"/>
        <v>0.9</v>
      </c>
      <c r="N134" s="53">
        <f t="shared" si="35"/>
        <v>0</v>
      </c>
      <c r="O134" s="53">
        <f t="shared" si="35"/>
        <v>0</v>
      </c>
      <c r="P134" s="776">
        <f t="shared" si="32"/>
        <v>0.24812515325193724</v>
      </c>
      <c r="Q134" s="519">
        <f t="shared" si="21"/>
        <v>11.165631896337175</v>
      </c>
      <c r="R134" s="53"/>
      <c r="S134" s="1213">
        <f t="shared" si="22"/>
        <v>0.66993791378023038</v>
      </c>
      <c r="T134" s="1200">
        <f t="shared" si="23"/>
        <v>0.76313821065905252</v>
      </c>
      <c r="U134" s="1201">
        <f t="shared" si="23"/>
        <v>34.341219479657354</v>
      </c>
      <c r="V134" s="1201">
        <f t="shared" si="23"/>
        <v>0</v>
      </c>
      <c r="W134" s="1202">
        <f t="shared" si="23"/>
        <v>2.0604731687794411</v>
      </c>
    </row>
    <row r="135" spans="1:23">
      <c r="A135" s="123">
        <f>'Input data'!A137</f>
        <v>2037</v>
      </c>
      <c r="B135" s="1210">
        <f>'Recycling - Case 1'!AI117</f>
        <v>6437.663217588939</v>
      </c>
      <c r="C135" s="1211">
        <f t="shared" si="33"/>
        <v>0.1</v>
      </c>
      <c r="D135" s="1211">
        <f t="shared" si="24"/>
        <v>0.9</v>
      </c>
      <c r="E135" s="53">
        <v>0</v>
      </c>
      <c r="F135" s="53">
        <v>0</v>
      </c>
      <c r="G135" s="776">
        <f t="shared" si="25"/>
        <v>0.51501305740711523</v>
      </c>
      <c r="H135" s="519">
        <f t="shared" si="26"/>
        <v>23.175587583320183</v>
      </c>
      <c r="I135" s="53"/>
      <c r="J135" s="776">
        <f t="shared" ref="J135:J148" si="36">D135*$D$7*B135/1000</f>
        <v>1.3905352549992107</v>
      </c>
      <c r="K135" s="1212">
        <f>'Recycling - Case 1'!Z197</f>
        <v>3172.7332635313132</v>
      </c>
      <c r="L135" s="1211">
        <f t="shared" si="34"/>
        <v>0.1</v>
      </c>
      <c r="M135" s="1211">
        <f t="shared" si="28"/>
        <v>0.9</v>
      </c>
      <c r="N135" s="53">
        <f t="shared" si="35"/>
        <v>0</v>
      </c>
      <c r="O135" s="53">
        <f t="shared" si="35"/>
        <v>0</v>
      </c>
      <c r="P135" s="776">
        <f t="shared" si="32"/>
        <v>0.25381866108250511</v>
      </c>
      <c r="Q135" s="519">
        <f t="shared" si="21"/>
        <v>11.421839748712728</v>
      </c>
      <c r="R135" s="53"/>
      <c r="S135" s="1213">
        <f t="shared" si="22"/>
        <v>0.68531038492276364</v>
      </c>
      <c r="T135" s="1200">
        <f t="shared" si="23"/>
        <v>0.76883171848962029</v>
      </c>
      <c r="U135" s="1201">
        <f t="shared" si="23"/>
        <v>34.597427332032908</v>
      </c>
      <c r="V135" s="1201">
        <f t="shared" si="23"/>
        <v>0</v>
      </c>
      <c r="W135" s="1202">
        <f t="shared" si="23"/>
        <v>2.0758456399219742</v>
      </c>
    </row>
    <row r="136" spans="1:23">
      <c r="A136" s="123">
        <f>'Input data'!A138</f>
        <v>2038</v>
      </c>
      <c r="B136" s="1210">
        <f>'Recycling - Case 1'!AI118</f>
        <v>6437.663217588939</v>
      </c>
      <c r="C136" s="1211">
        <f t="shared" si="33"/>
        <v>0.1</v>
      </c>
      <c r="D136" s="1211">
        <f t="shared" si="24"/>
        <v>0.9</v>
      </c>
      <c r="E136" s="53">
        <v>0</v>
      </c>
      <c r="F136" s="53">
        <v>0</v>
      </c>
      <c r="G136" s="776">
        <f t="shared" si="25"/>
        <v>0.51501305740711523</v>
      </c>
      <c r="H136" s="519">
        <f t="shared" si="26"/>
        <v>23.175587583320183</v>
      </c>
      <c r="I136" s="53"/>
      <c r="J136" s="776">
        <f t="shared" si="36"/>
        <v>1.3905352549992107</v>
      </c>
      <c r="K136" s="1212">
        <f>'Recycling - Case 1'!Z198</f>
        <v>3244.988409938665</v>
      </c>
      <c r="L136" s="1211">
        <f t="shared" si="34"/>
        <v>0.1</v>
      </c>
      <c r="M136" s="1211">
        <f t="shared" si="28"/>
        <v>0.9</v>
      </c>
      <c r="N136" s="53">
        <f t="shared" si="35"/>
        <v>0</v>
      </c>
      <c r="O136" s="53">
        <f t="shared" si="35"/>
        <v>0</v>
      </c>
      <c r="P136" s="776">
        <f t="shared" si="32"/>
        <v>0.25959907279509326</v>
      </c>
      <c r="Q136" s="519">
        <f t="shared" si="21"/>
        <v>11.681958275779195</v>
      </c>
      <c r="R136" s="53"/>
      <c r="S136" s="1213">
        <f t="shared" si="22"/>
        <v>0.70091749654675162</v>
      </c>
      <c r="T136" s="1200">
        <f t="shared" si="23"/>
        <v>0.77461213020220843</v>
      </c>
      <c r="U136" s="1201">
        <f t="shared" si="23"/>
        <v>34.857545859099375</v>
      </c>
      <c r="V136" s="1201">
        <f t="shared" si="23"/>
        <v>0</v>
      </c>
      <c r="W136" s="1202">
        <f t="shared" si="23"/>
        <v>2.0914527515459622</v>
      </c>
    </row>
    <row r="137" spans="1:23">
      <c r="A137" s="123">
        <f>'Input data'!A139</f>
        <v>2039</v>
      </c>
      <c r="B137" s="1210">
        <f>'Recycling - Case 1'!AI119</f>
        <v>6437.663217588939</v>
      </c>
      <c r="C137" s="1211">
        <f t="shared" si="33"/>
        <v>0.1</v>
      </c>
      <c r="D137" s="1211">
        <f t="shared" si="24"/>
        <v>0.9</v>
      </c>
      <c r="E137" s="53">
        <v>0</v>
      </c>
      <c r="F137" s="53">
        <v>0</v>
      </c>
      <c r="G137" s="776">
        <f t="shared" si="25"/>
        <v>0.51501305740711523</v>
      </c>
      <c r="H137" s="519">
        <f t="shared" si="26"/>
        <v>23.175587583320183</v>
      </c>
      <c r="I137" s="53"/>
      <c r="J137" s="776">
        <f t="shared" si="36"/>
        <v>1.3905352549992107</v>
      </c>
      <c r="K137" s="1212">
        <f>'Recycling - Case 1'!Z199</f>
        <v>3320.2145828125908</v>
      </c>
      <c r="L137" s="1211">
        <f t="shared" si="34"/>
        <v>0.1</v>
      </c>
      <c r="M137" s="1211">
        <f t="shared" si="28"/>
        <v>0.9</v>
      </c>
      <c r="N137" s="53">
        <f t="shared" si="35"/>
        <v>0</v>
      </c>
      <c r="O137" s="53">
        <f t="shared" si="35"/>
        <v>0</v>
      </c>
      <c r="P137" s="776">
        <f t="shared" si="32"/>
        <v>0.26561716662500734</v>
      </c>
      <c r="Q137" s="519">
        <f t="shared" si="21"/>
        <v>11.952772498125327</v>
      </c>
      <c r="R137" s="53"/>
      <c r="S137" s="1213">
        <f t="shared" si="22"/>
        <v>0.71716634988751959</v>
      </c>
      <c r="T137" s="1200">
        <f t="shared" si="23"/>
        <v>0.78063022403212257</v>
      </c>
      <c r="U137" s="1201">
        <f t="shared" si="23"/>
        <v>35.128360081445507</v>
      </c>
      <c r="V137" s="1201">
        <f t="shared" si="23"/>
        <v>0</v>
      </c>
      <c r="W137" s="1202">
        <f t="shared" si="23"/>
        <v>2.1077016048867305</v>
      </c>
    </row>
    <row r="138" spans="1:23">
      <c r="A138" s="123">
        <f>'Input data'!A140</f>
        <v>2040</v>
      </c>
      <c r="B138" s="1210">
        <f>'Recycling - Case 1'!AI120</f>
        <v>6437.663217588939</v>
      </c>
      <c r="C138" s="1211">
        <f t="shared" si="33"/>
        <v>0.1</v>
      </c>
      <c r="D138" s="1211">
        <f t="shared" si="24"/>
        <v>0.9</v>
      </c>
      <c r="E138" s="53">
        <v>0</v>
      </c>
      <c r="F138" s="53">
        <v>0</v>
      </c>
      <c r="G138" s="776">
        <f t="shared" si="25"/>
        <v>0.51501305740711523</v>
      </c>
      <c r="H138" s="519">
        <f t="shared" si="26"/>
        <v>23.175587583320183</v>
      </c>
      <c r="I138" s="53"/>
      <c r="J138" s="776">
        <f t="shared" si="36"/>
        <v>1.3905352549992107</v>
      </c>
      <c r="K138" s="1212">
        <f>'Recycling - Case 1'!Z200</f>
        <v>3400.0466614335983</v>
      </c>
      <c r="L138" s="1211">
        <f t="shared" si="34"/>
        <v>0.1</v>
      </c>
      <c r="M138" s="1211">
        <f t="shared" si="28"/>
        <v>0.9</v>
      </c>
      <c r="N138" s="53">
        <f t="shared" si="35"/>
        <v>0</v>
      </c>
      <c r="O138" s="53">
        <f t="shared" si="35"/>
        <v>0</v>
      </c>
      <c r="P138" s="776">
        <f t="shared" si="32"/>
        <v>0.27200373291468793</v>
      </c>
      <c r="Q138" s="519">
        <f t="shared" si="21"/>
        <v>12.240167981160953</v>
      </c>
      <c r="R138" s="53"/>
      <c r="S138" s="1213">
        <f t="shared" si="22"/>
        <v>0.73441007886965726</v>
      </c>
      <c r="T138" s="1200">
        <f t="shared" si="23"/>
        <v>0.78701679032180316</v>
      </c>
      <c r="U138" s="1201">
        <f t="shared" si="23"/>
        <v>35.415755564481138</v>
      </c>
      <c r="V138" s="1201">
        <f t="shared" si="23"/>
        <v>0</v>
      </c>
      <c r="W138" s="1202">
        <f t="shared" si="23"/>
        <v>2.124945333868868</v>
      </c>
    </row>
    <row r="139" spans="1:23">
      <c r="A139" s="123">
        <f>'Input data'!A141</f>
        <v>2041</v>
      </c>
      <c r="B139" s="1210">
        <f>'Recycling - Case 1'!AI121</f>
        <v>6437.663217588939</v>
      </c>
      <c r="C139" s="1211">
        <f t="shared" si="33"/>
        <v>0.1</v>
      </c>
      <c r="D139" s="1211">
        <f t="shared" si="24"/>
        <v>0.9</v>
      </c>
      <c r="E139" s="53">
        <v>0</v>
      </c>
      <c r="F139" s="53">
        <v>0</v>
      </c>
      <c r="G139" s="776">
        <f t="shared" si="25"/>
        <v>0.51501305740711523</v>
      </c>
      <c r="H139" s="519">
        <f t="shared" si="26"/>
        <v>23.175587583320183</v>
      </c>
      <c r="I139" s="53"/>
      <c r="J139" s="776">
        <f t="shared" si="36"/>
        <v>1.3905352549992107</v>
      </c>
      <c r="K139" s="1212">
        <f>'Recycling - Case 1'!Z201</f>
        <v>3483.1647930935037</v>
      </c>
      <c r="L139" s="1211">
        <f t="shared" si="34"/>
        <v>0.1</v>
      </c>
      <c r="M139" s="1211">
        <f t="shared" si="28"/>
        <v>0.9</v>
      </c>
      <c r="N139" s="53">
        <f t="shared" si="35"/>
        <v>0</v>
      </c>
      <c r="O139" s="53">
        <f t="shared" si="35"/>
        <v>0</v>
      </c>
      <c r="P139" s="776">
        <f t="shared" si="32"/>
        <v>0.27865318344748036</v>
      </c>
      <c r="Q139" s="519">
        <f t="shared" si="21"/>
        <v>12.539393255136615</v>
      </c>
      <c r="R139" s="53"/>
      <c r="S139" s="1213">
        <f t="shared" si="22"/>
        <v>0.75236359530819674</v>
      </c>
      <c r="T139" s="1200">
        <f t="shared" si="23"/>
        <v>0.79366624085459558</v>
      </c>
      <c r="U139" s="1201">
        <f t="shared" si="23"/>
        <v>35.714980838456796</v>
      </c>
      <c r="V139" s="1201">
        <f t="shared" si="23"/>
        <v>0</v>
      </c>
      <c r="W139" s="1202">
        <f t="shared" si="23"/>
        <v>2.1428988503074073</v>
      </c>
    </row>
    <row r="140" spans="1:23">
      <c r="A140" s="123">
        <f>'Input data'!A142</f>
        <v>2042</v>
      </c>
      <c r="B140" s="1210">
        <f>'Recycling - Case 1'!AI122</f>
        <v>6437.663217588939</v>
      </c>
      <c r="C140" s="1211">
        <f t="shared" si="33"/>
        <v>0.1</v>
      </c>
      <c r="D140" s="1211">
        <f t="shared" si="24"/>
        <v>0.9</v>
      </c>
      <c r="E140" s="53">
        <v>0</v>
      </c>
      <c r="F140" s="53">
        <v>0</v>
      </c>
      <c r="G140" s="776">
        <f t="shared" si="25"/>
        <v>0.51501305740711523</v>
      </c>
      <c r="H140" s="519">
        <f t="shared" si="26"/>
        <v>23.175587583320183</v>
      </c>
      <c r="I140" s="53"/>
      <c r="J140" s="776">
        <f t="shared" si="36"/>
        <v>1.3905352549992107</v>
      </c>
      <c r="K140" s="1212">
        <f>'Recycling - Case 1'!Z202</f>
        <v>3569.829689438367</v>
      </c>
      <c r="L140" s="1211">
        <f t="shared" si="34"/>
        <v>0.1</v>
      </c>
      <c r="M140" s="1211">
        <f t="shared" si="28"/>
        <v>0.9</v>
      </c>
      <c r="N140" s="53">
        <f t="shared" si="35"/>
        <v>0</v>
      </c>
      <c r="O140" s="53">
        <f t="shared" si="35"/>
        <v>0</v>
      </c>
      <c r="P140" s="776">
        <f t="shared" si="32"/>
        <v>0.28558637515506941</v>
      </c>
      <c r="Q140" s="519">
        <f t="shared" si="21"/>
        <v>12.851386881978122</v>
      </c>
      <c r="R140" s="53"/>
      <c r="S140" s="1213">
        <f t="shared" si="22"/>
        <v>0.77108321291868731</v>
      </c>
      <c r="T140" s="1200">
        <f t="shared" si="23"/>
        <v>0.80059943256218458</v>
      </c>
      <c r="U140" s="1201">
        <f t="shared" si="23"/>
        <v>36.026974465298309</v>
      </c>
      <c r="V140" s="1201">
        <f t="shared" si="23"/>
        <v>0</v>
      </c>
      <c r="W140" s="1202">
        <f t="shared" si="23"/>
        <v>2.161618467917898</v>
      </c>
    </row>
    <row r="141" spans="1:23">
      <c r="A141" s="123">
        <f>'Input data'!A143</f>
        <v>2043</v>
      </c>
      <c r="B141" s="1210">
        <f>'Recycling - Case 1'!AI123</f>
        <v>6437.663217588939</v>
      </c>
      <c r="C141" s="1211">
        <f t="shared" si="33"/>
        <v>0.1</v>
      </c>
      <c r="D141" s="1211">
        <f t="shared" si="24"/>
        <v>0.9</v>
      </c>
      <c r="E141" s="53">
        <v>0</v>
      </c>
      <c r="F141" s="53">
        <v>0</v>
      </c>
      <c r="G141" s="776">
        <f t="shared" si="25"/>
        <v>0.51501305740711523</v>
      </c>
      <c r="H141" s="519">
        <f t="shared" si="26"/>
        <v>23.175587583320183</v>
      </c>
      <c r="I141" s="53"/>
      <c r="J141" s="776">
        <f t="shared" si="36"/>
        <v>1.3905352549992107</v>
      </c>
      <c r="K141" s="1212">
        <f>'Recycling - Case 1'!Z203</f>
        <v>3659.8240907631371</v>
      </c>
      <c r="L141" s="1211">
        <f t="shared" si="34"/>
        <v>0.1</v>
      </c>
      <c r="M141" s="1211">
        <f t="shared" si="28"/>
        <v>0.9</v>
      </c>
      <c r="N141" s="53">
        <f t="shared" si="35"/>
        <v>0</v>
      </c>
      <c r="O141" s="53">
        <f t="shared" si="35"/>
        <v>0</v>
      </c>
      <c r="P141" s="776">
        <f t="shared" si="32"/>
        <v>0.29278592726105102</v>
      </c>
      <c r="Q141" s="519">
        <f t="shared" si="21"/>
        <v>13.175366726747294</v>
      </c>
      <c r="R141" s="53"/>
      <c r="S141" s="1213">
        <f t="shared" si="22"/>
        <v>0.7905220036048376</v>
      </c>
      <c r="T141" s="1200">
        <f t="shared" si="23"/>
        <v>0.80779898466816624</v>
      </c>
      <c r="U141" s="1201">
        <f t="shared" si="23"/>
        <v>36.350954310067479</v>
      </c>
      <c r="V141" s="1201">
        <f t="shared" si="23"/>
        <v>0</v>
      </c>
      <c r="W141" s="1202">
        <f t="shared" si="23"/>
        <v>2.1810572586040484</v>
      </c>
    </row>
    <row r="142" spans="1:23">
      <c r="A142" s="123">
        <f>'Input data'!A144</f>
        <v>2044</v>
      </c>
      <c r="B142" s="1210">
        <f>'Recycling - Case 1'!AI124</f>
        <v>6437.663217588939</v>
      </c>
      <c r="C142" s="1211">
        <f t="shared" si="33"/>
        <v>0.1</v>
      </c>
      <c r="D142" s="1211">
        <f t="shared" si="24"/>
        <v>0.9</v>
      </c>
      <c r="E142" s="53">
        <v>0</v>
      </c>
      <c r="F142" s="53">
        <v>0</v>
      </c>
      <c r="G142" s="776">
        <f t="shared" si="25"/>
        <v>0.51501305740711523</v>
      </c>
      <c r="H142" s="519">
        <f t="shared" si="26"/>
        <v>23.175587583320183</v>
      </c>
      <c r="I142" s="53"/>
      <c r="J142" s="776">
        <f t="shared" si="36"/>
        <v>1.3905352549992107</v>
      </c>
      <c r="K142" s="1212">
        <f>'Recycling - Case 1'!Z204</f>
        <v>3753.6313999115555</v>
      </c>
      <c r="L142" s="1211">
        <f t="shared" si="34"/>
        <v>0.1</v>
      </c>
      <c r="M142" s="1211">
        <f t="shared" si="28"/>
        <v>0.9</v>
      </c>
      <c r="N142" s="53">
        <f t="shared" si="35"/>
        <v>0</v>
      </c>
      <c r="O142" s="53">
        <f t="shared" si="35"/>
        <v>0</v>
      </c>
      <c r="P142" s="776">
        <f t="shared" si="32"/>
        <v>0.3002905119929245</v>
      </c>
      <c r="Q142" s="519">
        <f t="shared" si="21"/>
        <v>13.513073039681601</v>
      </c>
      <c r="R142" s="53"/>
      <c r="S142" s="1213">
        <f t="shared" si="22"/>
        <v>0.81078438238089601</v>
      </c>
      <c r="T142" s="1200">
        <f t="shared" si="23"/>
        <v>0.81530356940003967</v>
      </c>
      <c r="U142" s="1201">
        <f t="shared" si="23"/>
        <v>36.68866062300178</v>
      </c>
      <c r="V142" s="1201">
        <f t="shared" si="23"/>
        <v>0</v>
      </c>
      <c r="W142" s="1202">
        <f t="shared" si="23"/>
        <v>2.2013196373801067</v>
      </c>
    </row>
    <row r="143" spans="1:23">
      <c r="A143" s="123">
        <f>'Input data'!A145</f>
        <v>2045</v>
      </c>
      <c r="B143" s="1210">
        <f>'Recycling - Case 1'!AI125</f>
        <v>6437.663217588939</v>
      </c>
      <c r="C143" s="1211">
        <f t="shared" si="33"/>
        <v>0.1</v>
      </c>
      <c r="D143" s="1211">
        <f t="shared" si="24"/>
        <v>0.9</v>
      </c>
      <c r="E143" s="53">
        <v>0</v>
      </c>
      <c r="F143" s="53">
        <v>0</v>
      </c>
      <c r="G143" s="776">
        <f t="shared" si="25"/>
        <v>0.51501305740711523</v>
      </c>
      <c r="H143" s="519">
        <f t="shared" si="26"/>
        <v>23.175587583320183</v>
      </c>
      <c r="I143" s="53"/>
      <c r="J143" s="776">
        <f t="shared" si="36"/>
        <v>1.3905352549992107</v>
      </c>
      <c r="K143" s="1212">
        <f>'Recycling - Case 1'!Z205</f>
        <v>3853.2612691553395</v>
      </c>
      <c r="L143" s="1211">
        <f t="shared" si="34"/>
        <v>0.1</v>
      </c>
      <c r="M143" s="1211">
        <f t="shared" si="28"/>
        <v>0.9</v>
      </c>
      <c r="N143" s="53">
        <f t="shared" si="35"/>
        <v>0</v>
      </c>
      <c r="O143" s="53">
        <f t="shared" si="35"/>
        <v>0</v>
      </c>
      <c r="P143" s="776">
        <f t="shared" si="32"/>
        <v>0.30826090153242725</v>
      </c>
      <c r="Q143" s="519">
        <f t="shared" si="21"/>
        <v>13.871740568959224</v>
      </c>
      <c r="R143" s="53"/>
      <c r="S143" s="1213">
        <f t="shared" si="22"/>
        <v>0.83230443413755339</v>
      </c>
      <c r="T143" s="1200">
        <f t="shared" si="23"/>
        <v>0.82327395893954247</v>
      </c>
      <c r="U143" s="1201">
        <f t="shared" si="23"/>
        <v>37.047328152279405</v>
      </c>
      <c r="V143" s="1201">
        <f t="shared" si="23"/>
        <v>0</v>
      </c>
      <c r="W143" s="1202">
        <f t="shared" si="23"/>
        <v>2.2228396891367641</v>
      </c>
    </row>
    <row r="144" spans="1:23">
      <c r="A144" s="123">
        <f>'Input data'!A146</f>
        <v>2046</v>
      </c>
      <c r="B144" s="1210">
        <f>'Recycling - Case 1'!AI126</f>
        <v>6437.663217588939</v>
      </c>
      <c r="C144" s="1211">
        <f t="shared" si="33"/>
        <v>0.1</v>
      </c>
      <c r="D144" s="1211">
        <f t="shared" si="24"/>
        <v>0.9</v>
      </c>
      <c r="E144" s="53">
        <v>0</v>
      </c>
      <c r="F144" s="53">
        <v>0</v>
      </c>
      <c r="G144" s="776">
        <f t="shared" si="25"/>
        <v>0.51501305740711523</v>
      </c>
      <c r="H144" s="519">
        <f t="shared" si="26"/>
        <v>23.175587583320183</v>
      </c>
      <c r="I144" s="53"/>
      <c r="J144" s="776">
        <f t="shared" si="36"/>
        <v>1.3905352549992107</v>
      </c>
      <c r="K144" s="1212">
        <f>'Recycling - Case 1'!Z206</f>
        <v>3957.8175022111564</v>
      </c>
      <c r="L144" s="1211">
        <f t="shared" si="34"/>
        <v>0.1</v>
      </c>
      <c r="M144" s="1211">
        <f t="shared" si="28"/>
        <v>0.9</v>
      </c>
      <c r="N144" s="53">
        <f t="shared" si="35"/>
        <v>0</v>
      </c>
      <c r="O144" s="53">
        <f t="shared" si="35"/>
        <v>0</v>
      </c>
      <c r="P144" s="776">
        <f t="shared" si="32"/>
        <v>0.31662540017689256</v>
      </c>
      <c r="Q144" s="519">
        <f t="shared" si="21"/>
        <v>14.248143007960163</v>
      </c>
      <c r="R144" s="53"/>
      <c r="S144" s="1213">
        <f t="shared" si="22"/>
        <v>0.85488858047760974</v>
      </c>
      <c r="T144" s="1200">
        <f t="shared" si="23"/>
        <v>0.83163845758400778</v>
      </c>
      <c r="U144" s="1201">
        <f t="shared" si="23"/>
        <v>37.423730591280346</v>
      </c>
      <c r="V144" s="1201">
        <f t="shared" si="23"/>
        <v>0</v>
      </c>
      <c r="W144" s="1202">
        <f t="shared" si="23"/>
        <v>2.2454238354768203</v>
      </c>
    </row>
    <row r="145" spans="1:23">
      <c r="A145" s="123">
        <f>'Input data'!A147</f>
        <v>2047</v>
      </c>
      <c r="B145" s="1210">
        <f>'Recycling - Case 1'!AI127</f>
        <v>6437.663217588939</v>
      </c>
      <c r="C145" s="1211">
        <f t="shared" si="33"/>
        <v>0.1</v>
      </c>
      <c r="D145" s="1211">
        <f t="shared" si="24"/>
        <v>0.9</v>
      </c>
      <c r="E145" s="53">
        <v>0</v>
      </c>
      <c r="F145" s="53">
        <v>0</v>
      </c>
      <c r="G145" s="776">
        <f t="shared" si="25"/>
        <v>0.51501305740711523</v>
      </c>
      <c r="H145" s="519">
        <f t="shared" si="26"/>
        <v>23.175587583320183</v>
      </c>
      <c r="I145" s="53"/>
      <c r="J145" s="776">
        <f t="shared" si="36"/>
        <v>1.3905352549992107</v>
      </c>
      <c r="K145" s="1212">
        <f>'Recycling - Case 1'!Z207</f>
        <v>4067.3652769905207</v>
      </c>
      <c r="L145" s="1211">
        <f t="shared" si="34"/>
        <v>0.1</v>
      </c>
      <c r="M145" s="1211">
        <f t="shared" si="28"/>
        <v>0.9</v>
      </c>
      <c r="N145" s="53">
        <f t="shared" si="35"/>
        <v>0</v>
      </c>
      <c r="O145" s="53">
        <f t="shared" si="35"/>
        <v>0</v>
      </c>
      <c r="P145" s="776">
        <f t="shared" si="32"/>
        <v>0.32538922215924176</v>
      </c>
      <c r="Q145" s="519">
        <f t="shared" si="21"/>
        <v>14.642514997165874</v>
      </c>
      <c r="R145" s="53"/>
      <c r="S145" s="1213">
        <f t="shared" si="22"/>
        <v>0.87855089982995238</v>
      </c>
      <c r="T145" s="1200">
        <f t="shared" si="23"/>
        <v>0.84040227956635705</v>
      </c>
      <c r="U145" s="1201">
        <f t="shared" si="23"/>
        <v>37.818102580486055</v>
      </c>
      <c r="V145" s="1201">
        <f t="shared" si="23"/>
        <v>0</v>
      </c>
      <c r="W145" s="1202">
        <f t="shared" si="23"/>
        <v>2.269086154829163</v>
      </c>
    </row>
    <row r="146" spans="1:23">
      <c r="A146" s="123">
        <f>'Input data'!A148</f>
        <v>2048</v>
      </c>
      <c r="B146" s="1210">
        <f>'Recycling - Case 1'!AI128</f>
        <v>6437.663217588939</v>
      </c>
      <c r="C146" s="1211">
        <f t="shared" si="33"/>
        <v>0.1</v>
      </c>
      <c r="D146" s="1211">
        <f t="shared" si="24"/>
        <v>0.9</v>
      </c>
      <c r="E146" s="53">
        <v>0</v>
      </c>
      <c r="F146" s="53">
        <v>0</v>
      </c>
      <c r="G146" s="776">
        <f t="shared" si="25"/>
        <v>0.51501305740711523</v>
      </c>
      <c r="H146" s="519">
        <f t="shared" si="26"/>
        <v>23.175587583320183</v>
      </c>
      <c r="I146" s="53"/>
      <c r="J146" s="776">
        <f t="shared" si="36"/>
        <v>1.3905352549992107</v>
      </c>
      <c r="K146" s="1212">
        <f>'Recycling - Case 1'!Z208</f>
        <v>4178.1731580591822</v>
      </c>
      <c r="L146" s="1211">
        <f t="shared" si="34"/>
        <v>0.1</v>
      </c>
      <c r="M146" s="1211">
        <f t="shared" si="28"/>
        <v>0.9</v>
      </c>
      <c r="N146" s="53">
        <f t="shared" si="35"/>
        <v>0</v>
      </c>
      <c r="O146" s="53">
        <f t="shared" si="35"/>
        <v>0</v>
      </c>
      <c r="P146" s="776">
        <f t="shared" si="32"/>
        <v>0.33425385264473467</v>
      </c>
      <c r="Q146" s="519">
        <f t="shared" si="21"/>
        <v>15.041423369013057</v>
      </c>
      <c r="R146" s="53"/>
      <c r="S146" s="1213">
        <f t="shared" si="22"/>
        <v>0.90248540214078332</v>
      </c>
      <c r="T146" s="1200">
        <f t="shared" si="23"/>
        <v>0.84926691005184995</v>
      </c>
      <c r="U146" s="1201">
        <f t="shared" si="23"/>
        <v>38.21701095233324</v>
      </c>
      <c r="V146" s="1201">
        <f t="shared" si="23"/>
        <v>0</v>
      </c>
      <c r="W146" s="1202">
        <f t="shared" si="23"/>
        <v>2.2930206571399943</v>
      </c>
    </row>
    <row r="147" spans="1:23">
      <c r="A147" s="123">
        <f>'Input data'!A149</f>
        <v>2049</v>
      </c>
      <c r="B147" s="1210">
        <f>'Recycling - Case 1'!AI129</f>
        <v>6437.663217588939</v>
      </c>
      <c r="C147" s="1211">
        <f t="shared" si="33"/>
        <v>0.1</v>
      </c>
      <c r="D147" s="1211">
        <f t="shared" si="24"/>
        <v>0.9</v>
      </c>
      <c r="E147" s="53">
        <v>0</v>
      </c>
      <c r="F147" s="53">
        <v>0</v>
      </c>
      <c r="G147" s="776">
        <f t="shared" si="25"/>
        <v>0.51501305740711523</v>
      </c>
      <c r="H147" s="519">
        <f t="shared" si="26"/>
        <v>23.175587583320183</v>
      </c>
      <c r="I147" s="53"/>
      <c r="J147" s="776">
        <f t="shared" si="36"/>
        <v>1.3905352549992107</v>
      </c>
      <c r="K147" s="1212">
        <f>'Recycling - Case 1'!Z209</f>
        <v>4294.4451207098782</v>
      </c>
      <c r="L147" s="1211">
        <f t="shared" si="34"/>
        <v>0.1</v>
      </c>
      <c r="M147" s="1211">
        <f t="shared" si="28"/>
        <v>0.9</v>
      </c>
      <c r="N147" s="53">
        <f t="shared" si="35"/>
        <v>0</v>
      </c>
      <c r="O147" s="53">
        <f t="shared" si="35"/>
        <v>0</v>
      </c>
      <c r="P147" s="776">
        <f t="shared" si="32"/>
        <v>0.34355560965679027</v>
      </c>
      <c r="Q147" s="519">
        <f t="shared" si="21"/>
        <v>15.460002434555561</v>
      </c>
      <c r="R147" s="53"/>
      <c r="S147" s="1213">
        <f t="shared" si="22"/>
        <v>0.92760014607333374</v>
      </c>
      <c r="T147" s="1200">
        <f t="shared" si="23"/>
        <v>0.85856866706390544</v>
      </c>
      <c r="U147" s="1201">
        <f t="shared" si="23"/>
        <v>38.635590017875742</v>
      </c>
      <c r="V147" s="1201">
        <f t="shared" si="23"/>
        <v>0</v>
      </c>
      <c r="W147" s="1202">
        <f t="shared" si="23"/>
        <v>2.3181354010725443</v>
      </c>
    </row>
    <row r="148" spans="1:23" ht="15" thickBot="1">
      <c r="A148" s="123">
        <f>'Input data'!A150</f>
        <v>2050</v>
      </c>
      <c r="B148" s="1210">
        <f>'Recycling - Case 1'!AI130</f>
        <v>6437.663217588939</v>
      </c>
      <c r="C148" s="578">
        <f t="shared" si="33"/>
        <v>0.1</v>
      </c>
      <c r="D148" s="578">
        <f t="shared" si="24"/>
        <v>0.9</v>
      </c>
      <c r="E148" s="1214">
        <v>0</v>
      </c>
      <c r="F148" s="1214">
        <v>0</v>
      </c>
      <c r="G148" s="776">
        <f t="shared" si="25"/>
        <v>0.51501305740711523</v>
      </c>
      <c r="H148" s="519">
        <f t="shared" si="26"/>
        <v>23.175587583320183</v>
      </c>
      <c r="I148" s="1214"/>
      <c r="J148" s="1215">
        <f t="shared" si="36"/>
        <v>1.3905352549992107</v>
      </c>
      <c r="K148" s="1212">
        <f>'Recycling - Case 1'!Z210</f>
        <v>4416.6156843527096</v>
      </c>
      <c r="L148" s="578">
        <f t="shared" si="34"/>
        <v>0.1</v>
      </c>
      <c r="M148" s="578">
        <f t="shared" si="28"/>
        <v>0.9</v>
      </c>
      <c r="N148" s="1214">
        <f t="shared" si="35"/>
        <v>0</v>
      </c>
      <c r="O148" s="1214">
        <f t="shared" si="35"/>
        <v>0</v>
      </c>
      <c r="P148" s="1215">
        <f t="shared" si="32"/>
        <v>0.35332925474821686</v>
      </c>
      <c r="Q148" s="1146">
        <f t="shared" si="21"/>
        <v>15.899816463669755</v>
      </c>
      <c r="R148" s="1214"/>
      <c r="S148" s="1216">
        <f t="shared" si="22"/>
        <v>0.95398898782018526</v>
      </c>
      <c r="T148" s="1217">
        <f t="shared" si="23"/>
        <v>0.86834231215533209</v>
      </c>
      <c r="U148" s="1218">
        <f t="shared" si="23"/>
        <v>39.075404046989938</v>
      </c>
      <c r="V148" s="1218">
        <f t="shared" si="23"/>
        <v>0</v>
      </c>
      <c r="W148" s="1219">
        <f t="shared" si="23"/>
        <v>2.344524242819396</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3707.5237846120858</v>
      </c>
      <c r="C150" s="1211">
        <f>($C$154-$C$80)/($A$154-$A$80)+C80</f>
        <v>6.0000000000000005E-2</v>
      </c>
      <c r="D150" s="1211">
        <f>1-C150</f>
        <v>0.94</v>
      </c>
      <c r="E150" s="53">
        <v>0</v>
      </c>
      <c r="F150" s="53">
        <v>0</v>
      </c>
      <c r="G150" s="776">
        <f>C150*$D$5*B150/1000-E150</f>
        <v>0.17796114166138013</v>
      </c>
      <c r="H150" s="519">
        <f>D150*$D$4*B150/1000-F150</f>
        <v>13.940289430141442</v>
      </c>
      <c r="I150" s="53"/>
      <c r="J150" s="776">
        <f>D150*$D$7*B150/1000</f>
        <v>0.83641736580848647</v>
      </c>
      <c r="K150" s="1212">
        <f>'Recycling - Case 2'!Z138</f>
        <v>1787.3285316252955</v>
      </c>
      <c r="L150" s="1211">
        <f>($L$154-$L$80)/($A$154-$A$80)+L80</f>
        <v>0.1</v>
      </c>
      <c r="M150" s="1211">
        <f>($M$154-$M$80)/($A$154-$A$80)+M80</f>
        <v>0.9</v>
      </c>
      <c r="N150" s="53">
        <f>N114</f>
        <v>0</v>
      </c>
      <c r="O150" s="53">
        <f>O114</f>
        <v>0</v>
      </c>
      <c r="P150" s="776">
        <f>L150*$D$5*K150/1000-N150</f>
        <v>0.14298628253002366</v>
      </c>
      <c r="Q150" s="519">
        <f t="shared" ref="Q150:Q182" si="37">M150*$D$4*K150/1000-O150</f>
        <v>6.4343827138510639</v>
      </c>
      <c r="R150" s="53"/>
      <c r="S150" s="1213">
        <f t="shared" ref="S150:S182" si="38">M150*$D$7*K150/1000</f>
        <v>0.38606296283106384</v>
      </c>
      <c r="T150" s="1200">
        <f t="shared" ref="T150:W182" si="39">G150+P150</f>
        <v>0.32094742419140376</v>
      </c>
      <c r="U150" s="1201">
        <f t="shared" si="39"/>
        <v>20.374672143992505</v>
      </c>
      <c r="V150" s="1201">
        <f t="shared" si="39"/>
        <v>0</v>
      </c>
      <c r="W150" s="1202">
        <f t="shared" si="39"/>
        <v>1.2224803286395503</v>
      </c>
    </row>
    <row r="151" spans="1:23">
      <c r="A151" s="123">
        <f>'Input data'!A119</f>
        <v>2019</v>
      </c>
      <c r="B151" s="1210">
        <f>'Recycling - Case 2'!AI99</f>
        <v>4010.8726104984025</v>
      </c>
      <c r="C151" s="1211">
        <f>($C$154-$C$80)/($A$154-$A$80)+C150</f>
        <v>7.0000000000000007E-2</v>
      </c>
      <c r="D151" s="1211">
        <f t="shared" ref="D151:D153" si="40">1-C151</f>
        <v>0.92999999999999994</v>
      </c>
      <c r="E151" s="53">
        <v>0</v>
      </c>
      <c r="F151" s="53">
        <v>0</v>
      </c>
      <c r="G151" s="776">
        <f t="shared" ref="G151:G182" si="41">C151*$D$5*B151/1000-E151</f>
        <v>0.22460886618791057</v>
      </c>
      <c r="H151" s="519">
        <f t="shared" ref="H151:H182" si="42">D151*$D$4*B151/1000-F151</f>
        <v>14.920446111054057</v>
      </c>
      <c r="I151" s="53"/>
      <c r="J151" s="776">
        <f t="shared" ref="J151:J182" si="43">D151*$D$7*B151/1000</f>
        <v>0.8952267666632433</v>
      </c>
      <c r="K151" s="1212">
        <f>'Recycling - Case 2'!Z139</f>
        <v>1877.2124191793723</v>
      </c>
      <c r="L151" s="1211">
        <f>($L$154-$L$80)/($A$154-$A$80)+L150</f>
        <v>0.1</v>
      </c>
      <c r="M151" s="1211">
        <f>($M$154-$M$80)/($A$154-$A$80)+M150</f>
        <v>0.9</v>
      </c>
      <c r="N151" s="53">
        <f t="shared" ref="N151:O166" si="44">N149</f>
        <v>0</v>
      </c>
      <c r="O151" s="53">
        <f t="shared" si="44"/>
        <v>0</v>
      </c>
      <c r="P151" s="776">
        <f t="shared" ref="P151:P182" si="45">L151*$D$5*K151/1000-N151</f>
        <v>0.1501769935343498</v>
      </c>
      <c r="Q151" s="519">
        <f t="shared" si="37"/>
        <v>6.7579647090457398</v>
      </c>
      <c r="R151" s="53"/>
      <c r="S151" s="1213">
        <f t="shared" si="38"/>
        <v>0.40547788254274442</v>
      </c>
      <c r="T151" s="1200">
        <f t="shared" si="39"/>
        <v>0.37478585972226036</v>
      </c>
      <c r="U151" s="1201">
        <f t="shared" si="39"/>
        <v>21.678410820099796</v>
      </c>
      <c r="V151" s="1201">
        <f t="shared" si="39"/>
        <v>0</v>
      </c>
      <c r="W151" s="1202">
        <f t="shared" si="39"/>
        <v>1.3007046492059877</v>
      </c>
    </row>
    <row r="152" spans="1:23">
      <c r="A152" s="123">
        <f>'Input data'!A120</f>
        <v>2020</v>
      </c>
      <c r="B152" s="1210">
        <f>'Recycling - Case 2'!AI100</f>
        <v>4617.5702622710369</v>
      </c>
      <c r="C152" s="1211">
        <f>($C$154-$C$80)/($A$154-$A$80)+C151</f>
        <v>0.08</v>
      </c>
      <c r="D152" s="1211">
        <f t="shared" si="40"/>
        <v>0.92</v>
      </c>
      <c r="E152" s="53">
        <v>0</v>
      </c>
      <c r="F152" s="53">
        <v>0</v>
      </c>
      <c r="G152" s="776">
        <f t="shared" si="41"/>
        <v>0.29552449678534637</v>
      </c>
      <c r="H152" s="519">
        <f t="shared" si="42"/>
        <v>16.992658565157416</v>
      </c>
      <c r="I152" s="53"/>
      <c r="J152" s="776">
        <f t="shared" si="43"/>
        <v>1.0195595139094449</v>
      </c>
      <c r="K152" s="1212">
        <f>'Recycling - Case 2'!Z140</f>
        <v>1902.4705235478471</v>
      </c>
      <c r="L152" s="1211">
        <f>($L$154-$L$80)/($A$154-$A$80)+L151</f>
        <v>0.1</v>
      </c>
      <c r="M152" s="1211">
        <f>($M$154-$M$80)/($A$154-$A$80)+M151</f>
        <v>0.9</v>
      </c>
      <c r="N152" s="53">
        <f t="shared" si="44"/>
        <v>0</v>
      </c>
      <c r="O152" s="53">
        <f t="shared" si="44"/>
        <v>0</v>
      </c>
      <c r="P152" s="776">
        <f t="shared" si="45"/>
        <v>0.15219764188382781</v>
      </c>
      <c r="Q152" s="519">
        <f t="shared" si="37"/>
        <v>6.8488938847722496</v>
      </c>
      <c r="R152" s="53"/>
      <c r="S152" s="1213">
        <f t="shared" si="38"/>
        <v>0.41093363308633496</v>
      </c>
      <c r="T152" s="1200">
        <f t="shared" si="39"/>
        <v>0.44772213866917421</v>
      </c>
      <c r="U152" s="1201">
        <f t="shared" si="39"/>
        <v>23.841552449929665</v>
      </c>
      <c r="V152" s="1201">
        <f t="shared" si="39"/>
        <v>0</v>
      </c>
      <c r="W152" s="1202">
        <f t="shared" si="39"/>
        <v>1.4304931469957798</v>
      </c>
    </row>
    <row r="153" spans="1:23">
      <c r="A153" s="123">
        <f>'Input data'!A121</f>
        <v>2021</v>
      </c>
      <c r="B153" s="1210">
        <f>'Recycling - Case 2'!AI101</f>
        <v>5830.9655658163047</v>
      </c>
      <c r="C153" s="1211">
        <f>($C$154-$C$80)/($A$154-$A$80)+C152</f>
        <v>0.09</v>
      </c>
      <c r="D153" s="1211">
        <f t="shared" si="40"/>
        <v>0.91</v>
      </c>
      <c r="E153" s="53">
        <v>0</v>
      </c>
      <c r="F153" s="53">
        <v>0</v>
      </c>
      <c r="G153" s="776">
        <f t="shared" si="41"/>
        <v>0.41982952073877389</v>
      </c>
      <c r="H153" s="519">
        <f t="shared" si="42"/>
        <v>21.224714659571351</v>
      </c>
      <c r="I153" s="53"/>
      <c r="J153" s="776">
        <f t="shared" si="43"/>
        <v>1.273482879574281</v>
      </c>
      <c r="K153" s="1212">
        <f>'Recycling - Case 2'!Z141</f>
        <v>2238.7918742794518</v>
      </c>
      <c r="L153" s="1211">
        <f>($L$154-$L$80)/($A$154-$A$80)+L152</f>
        <v>0.1</v>
      </c>
      <c r="M153" s="1211">
        <f>($M$154-$M$80)/($A$154-$A$80)+M152</f>
        <v>0.9</v>
      </c>
      <c r="N153" s="53">
        <f t="shared" si="44"/>
        <v>0</v>
      </c>
      <c r="O153" s="53">
        <f t="shared" si="44"/>
        <v>0</v>
      </c>
      <c r="P153" s="776">
        <f t="shared" si="45"/>
        <v>0.17910334994235619</v>
      </c>
      <c r="Q153" s="519">
        <f t="shared" si="37"/>
        <v>8.0596507474060264</v>
      </c>
      <c r="R153" s="53"/>
      <c r="S153" s="1213">
        <f t="shared" si="38"/>
        <v>0.48357904484436159</v>
      </c>
      <c r="T153" s="1200">
        <f t="shared" si="39"/>
        <v>0.5989328706811301</v>
      </c>
      <c r="U153" s="1201">
        <f t="shared" si="39"/>
        <v>29.284365406977379</v>
      </c>
      <c r="V153" s="1201">
        <f t="shared" si="39"/>
        <v>0</v>
      </c>
      <c r="W153" s="1202">
        <f t="shared" si="39"/>
        <v>1.7570619244186425</v>
      </c>
    </row>
    <row r="154" spans="1:23">
      <c r="A154" s="123">
        <f>'Input data'!A122</f>
        <v>2022</v>
      </c>
      <c r="B154" s="1210">
        <f>'Recycling - Case 2'!AI102</f>
        <v>6437.663217588939</v>
      </c>
      <c r="C154" s="1211">
        <f>'Recycling - Case 2'!E31</f>
        <v>0.1</v>
      </c>
      <c r="D154" s="1211">
        <f>'Recycling - Case 2'!F31</f>
        <v>0.9</v>
      </c>
      <c r="E154" s="53">
        <v>0</v>
      </c>
      <c r="F154" s="53">
        <v>0</v>
      </c>
      <c r="G154" s="776">
        <f t="shared" si="41"/>
        <v>0.51501305740711523</v>
      </c>
      <c r="H154" s="519">
        <f t="shared" si="42"/>
        <v>23.175587583320183</v>
      </c>
      <c r="I154" s="53"/>
      <c r="J154" s="776">
        <f t="shared" si="43"/>
        <v>1.3905352549992107</v>
      </c>
      <c r="K154" s="1212">
        <f>'Recycling - Case 2'!Z142</f>
        <v>2423.2959109577191</v>
      </c>
      <c r="L154" s="1211">
        <f>'Recycling - Case 2'!E31</f>
        <v>0.1</v>
      </c>
      <c r="M154" s="1211">
        <f>'Recycling - Case 2'!F31</f>
        <v>0.9</v>
      </c>
      <c r="N154" s="53">
        <f t="shared" si="44"/>
        <v>0</v>
      </c>
      <c r="O154" s="53">
        <f t="shared" si="44"/>
        <v>0</v>
      </c>
      <c r="P154" s="776">
        <f t="shared" si="45"/>
        <v>0.19386367287661754</v>
      </c>
      <c r="Q154" s="519">
        <f t="shared" si="37"/>
        <v>8.7238652794477893</v>
      </c>
      <c r="R154" s="53"/>
      <c r="S154" s="1213">
        <f t="shared" si="38"/>
        <v>0.52343191676686729</v>
      </c>
      <c r="T154" s="1200">
        <f t="shared" si="39"/>
        <v>0.70887673028373277</v>
      </c>
      <c r="U154" s="1201">
        <f t="shared" si="39"/>
        <v>31.899452862767973</v>
      </c>
      <c r="V154" s="1201">
        <f t="shared" si="39"/>
        <v>0</v>
      </c>
      <c r="W154" s="1202">
        <f t="shared" si="39"/>
        <v>1.913967171766078</v>
      </c>
    </row>
    <row r="155" spans="1:23">
      <c r="A155" s="123">
        <f>'Input data'!A123</f>
        <v>2023</v>
      </c>
      <c r="B155" s="1210">
        <f>'Recycling - Case 2'!AI103</f>
        <v>6437.663217588939</v>
      </c>
      <c r="C155" s="1211">
        <f>C154</f>
        <v>0.1</v>
      </c>
      <c r="D155" s="1211">
        <f>D154</f>
        <v>0.9</v>
      </c>
      <c r="E155" s="53">
        <v>0</v>
      </c>
      <c r="F155" s="53">
        <v>0</v>
      </c>
      <c r="G155" s="776">
        <f t="shared" si="41"/>
        <v>0.51501305740711523</v>
      </c>
      <c r="H155" s="519">
        <f t="shared" si="42"/>
        <v>23.175587583320183</v>
      </c>
      <c r="I155" s="53"/>
      <c r="J155" s="776">
        <f t="shared" si="43"/>
        <v>1.3905352549992107</v>
      </c>
      <c r="K155" s="1212">
        <f>'Recycling - Case 2'!Z143</f>
        <v>2457.7370057009366</v>
      </c>
      <c r="L155" s="1211">
        <f>L154</f>
        <v>0.1</v>
      </c>
      <c r="M155" s="1211">
        <f>M154</f>
        <v>0.9</v>
      </c>
      <c r="N155" s="53">
        <f t="shared" si="44"/>
        <v>0</v>
      </c>
      <c r="O155" s="53">
        <f t="shared" si="44"/>
        <v>0</v>
      </c>
      <c r="P155" s="776">
        <f t="shared" si="45"/>
        <v>0.19661896045607496</v>
      </c>
      <c r="Q155" s="519">
        <f t="shared" si="37"/>
        <v>8.8478532205233709</v>
      </c>
      <c r="R155" s="53"/>
      <c r="S155" s="1213">
        <f t="shared" si="38"/>
        <v>0.53087119323140231</v>
      </c>
      <c r="T155" s="1200">
        <f t="shared" si="39"/>
        <v>0.71163201786319019</v>
      </c>
      <c r="U155" s="1201">
        <f t="shared" si="39"/>
        <v>32.023440803843556</v>
      </c>
      <c r="V155" s="1201">
        <f t="shared" si="39"/>
        <v>0</v>
      </c>
      <c r="W155" s="1202">
        <f t="shared" si="39"/>
        <v>1.921406448230613</v>
      </c>
    </row>
    <row r="156" spans="1:23">
      <c r="A156" s="123">
        <f>'Input data'!A124</f>
        <v>2024</v>
      </c>
      <c r="B156" s="1210">
        <f>'Recycling - Case 2'!AI104</f>
        <v>6437.663217588939</v>
      </c>
      <c r="C156" s="1211">
        <f t="shared" ref="C156:D171" si="46">C155</f>
        <v>0.1</v>
      </c>
      <c r="D156" s="1211">
        <f t="shared" si="46"/>
        <v>0.9</v>
      </c>
      <c r="E156" s="53">
        <v>0</v>
      </c>
      <c r="F156" s="53">
        <v>0</v>
      </c>
      <c r="G156" s="776">
        <f t="shared" si="41"/>
        <v>0.51501305740711523</v>
      </c>
      <c r="H156" s="519">
        <f t="shared" si="42"/>
        <v>23.175587583320183</v>
      </c>
      <c r="I156" s="53"/>
      <c r="J156" s="776">
        <f t="shared" si="43"/>
        <v>1.3905352549992107</v>
      </c>
      <c r="K156" s="1212">
        <f>'Recycling - Case 2'!Z144</f>
        <v>2490.9560146032422</v>
      </c>
      <c r="L156" s="1211">
        <f t="shared" ref="L156:M171" si="47">L155</f>
        <v>0.1</v>
      </c>
      <c r="M156" s="1211">
        <f t="shared" si="47"/>
        <v>0.9</v>
      </c>
      <c r="N156" s="53">
        <f t="shared" si="44"/>
        <v>0</v>
      </c>
      <c r="O156" s="53">
        <f t="shared" si="44"/>
        <v>0</v>
      </c>
      <c r="P156" s="776">
        <f t="shared" si="45"/>
        <v>0.19927648116825941</v>
      </c>
      <c r="Q156" s="519">
        <f t="shared" si="37"/>
        <v>8.9674416525716723</v>
      </c>
      <c r="R156" s="53"/>
      <c r="S156" s="1213">
        <f t="shared" si="38"/>
        <v>0.53804649915430036</v>
      </c>
      <c r="T156" s="1200">
        <f t="shared" si="39"/>
        <v>0.71428953857537469</v>
      </c>
      <c r="U156" s="1201">
        <f t="shared" si="39"/>
        <v>32.143029235891859</v>
      </c>
      <c r="V156" s="1201">
        <f t="shared" si="39"/>
        <v>0</v>
      </c>
      <c r="W156" s="1202">
        <f t="shared" si="39"/>
        <v>1.9285817541535111</v>
      </c>
    </row>
    <row r="157" spans="1:23">
      <c r="A157" s="123">
        <f>'Input data'!A125</f>
        <v>2025</v>
      </c>
      <c r="B157" s="1210">
        <f>'Recycling - Case 2'!AI105</f>
        <v>6437.663217588939</v>
      </c>
      <c r="C157" s="1211">
        <f t="shared" si="46"/>
        <v>0.1</v>
      </c>
      <c r="D157" s="1211">
        <f t="shared" si="46"/>
        <v>0.9</v>
      </c>
      <c r="E157" s="53">
        <v>0</v>
      </c>
      <c r="F157" s="53">
        <v>0</v>
      </c>
      <c r="G157" s="776">
        <f t="shared" si="41"/>
        <v>0.51501305740711523</v>
      </c>
      <c r="H157" s="519">
        <f t="shared" si="42"/>
        <v>23.175587583320183</v>
      </c>
      <c r="I157" s="53"/>
      <c r="J157" s="776">
        <f t="shared" si="43"/>
        <v>1.3905352549992107</v>
      </c>
      <c r="K157" s="1212">
        <f>'Recycling - Case 2'!Z145</f>
        <v>2525.5926430810055</v>
      </c>
      <c r="L157" s="1211">
        <f t="shared" si="47"/>
        <v>0.1</v>
      </c>
      <c r="M157" s="1211">
        <f t="shared" si="47"/>
        <v>0.9</v>
      </c>
      <c r="N157" s="53">
        <f t="shared" si="44"/>
        <v>0</v>
      </c>
      <c r="O157" s="53">
        <f t="shared" si="44"/>
        <v>0</v>
      </c>
      <c r="P157" s="776">
        <f t="shared" si="45"/>
        <v>0.20204741144648047</v>
      </c>
      <c r="Q157" s="519">
        <f t="shared" si="37"/>
        <v>9.0921335150916196</v>
      </c>
      <c r="R157" s="53"/>
      <c r="S157" s="1213">
        <f t="shared" si="38"/>
        <v>0.54552801090549707</v>
      </c>
      <c r="T157" s="1200">
        <f t="shared" si="39"/>
        <v>0.71706046885359576</v>
      </c>
      <c r="U157" s="1201">
        <f t="shared" si="39"/>
        <v>32.267721098411805</v>
      </c>
      <c r="V157" s="1201">
        <f t="shared" si="39"/>
        <v>0</v>
      </c>
      <c r="W157" s="1202">
        <f t="shared" si="39"/>
        <v>1.9360632659047079</v>
      </c>
    </row>
    <row r="158" spans="1:23">
      <c r="A158" s="123">
        <f>'Input data'!A126</f>
        <v>2026</v>
      </c>
      <c r="B158" s="1210">
        <f>'Recycling - Case 2'!AI106</f>
        <v>6437.663217588939</v>
      </c>
      <c r="C158" s="1211">
        <f t="shared" si="46"/>
        <v>0.1</v>
      </c>
      <c r="D158" s="1211">
        <f t="shared" si="46"/>
        <v>0.9</v>
      </c>
      <c r="E158" s="53">
        <v>0</v>
      </c>
      <c r="F158" s="53">
        <v>0</v>
      </c>
      <c r="G158" s="776">
        <f t="shared" si="41"/>
        <v>0.51501305740711523</v>
      </c>
      <c r="H158" s="519">
        <f t="shared" si="42"/>
        <v>23.175587583320183</v>
      </c>
      <c r="I158" s="53"/>
      <c r="J158" s="776">
        <f t="shared" si="43"/>
        <v>1.3905352549992107</v>
      </c>
      <c r="K158" s="1212">
        <f>'Recycling - Case 2'!Z146</f>
        <v>2566.7307682324217</v>
      </c>
      <c r="L158" s="1211">
        <f t="shared" si="47"/>
        <v>0.1</v>
      </c>
      <c r="M158" s="1211">
        <f t="shared" si="47"/>
        <v>0.9</v>
      </c>
      <c r="N158" s="53">
        <f t="shared" si="44"/>
        <v>0</v>
      </c>
      <c r="O158" s="53">
        <f t="shared" si="44"/>
        <v>0</v>
      </c>
      <c r="P158" s="776">
        <f t="shared" si="45"/>
        <v>0.20533846145859377</v>
      </c>
      <c r="Q158" s="519">
        <f t="shared" si="37"/>
        <v>9.2402307656367189</v>
      </c>
      <c r="R158" s="53"/>
      <c r="S158" s="1213">
        <f t="shared" si="38"/>
        <v>0.55441384593820309</v>
      </c>
      <c r="T158" s="1200">
        <f t="shared" si="39"/>
        <v>0.72035151886570903</v>
      </c>
      <c r="U158" s="1201">
        <f t="shared" si="39"/>
        <v>32.415818348956904</v>
      </c>
      <c r="V158" s="1201">
        <f t="shared" si="39"/>
        <v>0</v>
      </c>
      <c r="W158" s="1202">
        <f t="shared" si="39"/>
        <v>1.9449491009374138</v>
      </c>
    </row>
    <row r="159" spans="1:23">
      <c r="A159" s="123">
        <f>'Input data'!A127</f>
        <v>2027</v>
      </c>
      <c r="B159" s="1210">
        <f>'Recycling - Case 2'!AI107</f>
        <v>6437.663217588939</v>
      </c>
      <c r="C159" s="1211">
        <f t="shared" si="46"/>
        <v>0.1</v>
      </c>
      <c r="D159" s="1211">
        <f t="shared" si="46"/>
        <v>0.9</v>
      </c>
      <c r="E159" s="53">
        <v>0</v>
      </c>
      <c r="F159" s="53">
        <v>0</v>
      </c>
      <c r="G159" s="776">
        <f t="shared" si="41"/>
        <v>0.51501305740711523</v>
      </c>
      <c r="H159" s="519">
        <f t="shared" si="42"/>
        <v>23.175587583320183</v>
      </c>
      <c r="I159" s="53"/>
      <c r="J159" s="776">
        <f t="shared" si="43"/>
        <v>1.3905352549992107</v>
      </c>
      <c r="K159" s="1212">
        <f>'Recycling - Case 2'!Z147</f>
        <v>2607.4669629294931</v>
      </c>
      <c r="L159" s="1211">
        <f t="shared" si="47"/>
        <v>0.1</v>
      </c>
      <c r="M159" s="1211">
        <f t="shared" si="47"/>
        <v>0.9</v>
      </c>
      <c r="N159" s="53">
        <f t="shared" si="44"/>
        <v>0</v>
      </c>
      <c r="O159" s="53">
        <f t="shared" si="44"/>
        <v>0</v>
      </c>
      <c r="P159" s="776">
        <f t="shared" si="45"/>
        <v>0.20859735703435947</v>
      </c>
      <c r="Q159" s="519">
        <f t="shared" si="37"/>
        <v>9.3868810665461755</v>
      </c>
      <c r="R159" s="53"/>
      <c r="S159" s="1213">
        <f t="shared" si="38"/>
        <v>0.56321286399277048</v>
      </c>
      <c r="T159" s="1200">
        <f t="shared" si="39"/>
        <v>0.72361041444147467</v>
      </c>
      <c r="U159" s="1201">
        <f t="shared" si="39"/>
        <v>32.562468649866361</v>
      </c>
      <c r="V159" s="1201">
        <f t="shared" si="39"/>
        <v>0</v>
      </c>
      <c r="W159" s="1202">
        <f t="shared" si="39"/>
        <v>1.9537481189919812</v>
      </c>
    </row>
    <row r="160" spans="1:23">
      <c r="A160" s="123">
        <f>'Input data'!A128</f>
        <v>2028</v>
      </c>
      <c r="B160" s="1210">
        <f>'Recycling - Case 2'!AI108</f>
        <v>6437.663217588939</v>
      </c>
      <c r="C160" s="1211">
        <f t="shared" si="46"/>
        <v>0.1</v>
      </c>
      <c r="D160" s="1211">
        <f t="shared" si="46"/>
        <v>0.9</v>
      </c>
      <c r="E160" s="53">
        <v>0</v>
      </c>
      <c r="F160" s="53">
        <v>0</v>
      </c>
      <c r="G160" s="776">
        <f t="shared" si="41"/>
        <v>0.51501305740711523</v>
      </c>
      <c r="H160" s="519">
        <f t="shared" si="42"/>
        <v>23.175587583320183</v>
      </c>
      <c r="I160" s="53"/>
      <c r="J160" s="776">
        <f t="shared" si="43"/>
        <v>1.3905352549992107</v>
      </c>
      <c r="K160" s="1212">
        <f>'Recycling - Case 2'!Z148</f>
        <v>2650.1584949720245</v>
      </c>
      <c r="L160" s="1211">
        <f t="shared" si="47"/>
        <v>0.1</v>
      </c>
      <c r="M160" s="1211">
        <f t="shared" si="47"/>
        <v>0.9</v>
      </c>
      <c r="N160" s="53">
        <f t="shared" si="44"/>
        <v>0</v>
      </c>
      <c r="O160" s="53">
        <f t="shared" si="44"/>
        <v>0</v>
      </c>
      <c r="P160" s="776">
        <f t="shared" si="45"/>
        <v>0.21201267959776199</v>
      </c>
      <c r="Q160" s="519">
        <f t="shared" si="37"/>
        <v>9.5405705818992885</v>
      </c>
      <c r="R160" s="53"/>
      <c r="S160" s="1213">
        <f t="shared" si="38"/>
        <v>0.57243423491395728</v>
      </c>
      <c r="T160" s="1200">
        <f t="shared" si="39"/>
        <v>0.72702573700487716</v>
      </c>
      <c r="U160" s="1201">
        <f t="shared" si="39"/>
        <v>32.716158165219468</v>
      </c>
      <c r="V160" s="1201">
        <f t="shared" si="39"/>
        <v>0</v>
      </c>
      <c r="W160" s="1202">
        <f t="shared" si="39"/>
        <v>1.962969489913168</v>
      </c>
    </row>
    <row r="161" spans="1:23">
      <c r="A161" s="123">
        <f>'Input data'!A129</f>
        <v>2029</v>
      </c>
      <c r="B161" s="1210">
        <f>'Recycling - Case 2'!AI109</f>
        <v>6437.663217588939</v>
      </c>
      <c r="C161" s="1211">
        <f t="shared" si="46"/>
        <v>0.1</v>
      </c>
      <c r="D161" s="1211">
        <f t="shared" si="46"/>
        <v>0.9</v>
      </c>
      <c r="E161" s="53">
        <v>0</v>
      </c>
      <c r="F161" s="53">
        <v>0</v>
      </c>
      <c r="G161" s="776">
        <f t="shared" si="41"/>
        <v>0.51501305740711523</v>
      </c>
      <c r="H161" s="519">
        <f t="shared" si="42"/>
        <v>23.175587583320183</v>
      </c>
      <c r="I161" s="53"/>
      <c r="J161" s="776">
        <f t="shared" si="43"/>
        <v>1.3905352549992107</v>
      </c>
      <c r="K161" s="1212">
        <f>'Recycling - Case 2'!Z149</f>
        <v>2694.2622150973871</v>
      </c>
      <c r="L161" s="1211">
        <f t="shared" si="47"/>
        <v>0.1</v>
      </c>
      <c r="M161" s="1211">
        <f t="shared" si="47"/>
        <v>0.9</v>
      </c>
      <c r="N161" s="53">
        <f t="shared" si="44"/>
        <v>0</v>
      </c>
      <c r="O161" s="53">
        <f t="shared" si="44"/>
        <v>0</v>
      </c>
      <c r="P161" s="776">
        <f t="shared" si="45"/>
        <v>0.215540977207791</v>
      </c>
      <c r="Q161" s="519">
        <f t="shared" si="37"/>
        <v>9.6993439743505938</v>
      </c>
      <c r="R161" s="53"/>
      <c r="S161" s="1213">
        <f t="shared" si="38"/>
        <v>0.58196063846103563</v>
      </c>
      <c r="T161" s="1200">
        <f t="shared" si="39"/>
        <v>0.7305540346149062</v>
      </c>
      <c r="U161" s="1201">
        <f t="shared" si="39"/>
        <v>32.874931557670777</v>
      </c>
      <c r="V161" s="1201">
        <f t="shared" si="39"/>
        <v>0</v>
      </c>
      <c r="W161" s="1202">
        <f t="shared" si="39"/>
        <v>1.9724958934602463</v>
      </c>
    </row>
    <row r="162" spans="1:23">
      <c r="A162" s="123">
        <f>'Input data'!A130</f>
        <v>2030</v>
      </c>
      <c r="B162" s="1210">
        <f>'Recycling - Case 2'!AI110</f>
        <v>6437.663217588939</v>
      </c>
      <c r="C162" s="1211">
        <f t="shared" si="46"/>
        <v>0.1</v>
      </c>
      <c r="D162" s="1211">
        <f t="shared" si="46"/>
        <v>0.9</v>
      </c>
      <c r="E162" s="53">
        <v>0</v>
      </c>
      <c r="F162" s="53">
        <v>0</v>
      </c>
      <c r="G162" s="776">
        <f t="shared" si="41"/>
        <v>0.51501305740711523</v>
      </c>
      <c r="H162" s="519">
        <f t="shared" si="42"/>
        <v>23.175587583320183</v>
      </c>
      <c r="I162" s="53"/>
      <c r="J162" s="776">
        <f t="shared" si="43"/>
        <v>1.3905352549992107</v>
      </c>
      <c r="K162" s="1212">
        <f>'Recycling - Case 2'!Z150</f>
        <v>2739.9084791286127</v>
      </c>
      <c r="L162" s="1211">
        <f t="shared" si="47"/>
        <v>0.1</v>
      </c>
      <c r="M162" s="1211">
        <f t="shared" si="47"/>
        <v>0.9</v>
      </c>
      <c r="N162" s="53">
        <f t="shared" si="44"/>
        <v>0</v>
      </c>
      <c r="O162" s="53">
        <f t="shared" si="44"/>
        <v>0</v>
      </c>
      <c r="P162" s="776">
        <f t="shared" si="45"/>
        <v>0.21919267833028905</v>
      </c>
      <c r="Q162" s="519">
        <f t="shared" si="37"/>
        <v>9.8636705248630054</v>
      </c>
      <c r="R162" s="53"/>
      <c r="S162" s="1213">
        <f t="shared" si="38"/>
        <v>0.59182023149178031</v>
      </c>
      <c r="T162" s="1200">
        <f t="shared" si="39"/>
        <v>0.73420573573740433</v>
      </c>
      <c r="U162" s="1201">
        <f t="shared" si="39"/>
        <v>33.039258108183191</v>
      </c>
      <c r="V162" s="1201">
        <f t="shared" si="39"/>
        <v>0</v>
      </c>
      <c r="W162" s="1202">
        <f t="shared" si="39"/>
        <v>1.9823554864909911</v>
      </c>
    </row>
    <row r="163" spans="1:23">
      <c r="A163" s="123">
        <f>'Input data'!A131</f>
        <v>2031</v>
      </c>
      <c r="B163" s="1210">
        <f>'Recycling - Case 2'!AI111</f>
        <v>6437.663217588939</v>
      </c>
      <c r="C163" s="1211">
        <f t="shared" si="46"/>
        <v>0.1</v>
      </c>
      <c r="D163" s="1211">
        <f t="shared" si="46"/>
        <v>0.9</v>
      </c>
      <c r="E163" s="53">
        <v>0</v>
      </c>
      <c r="F163" s="53">
        <v>0</v>
      </c>
      <c r="G163" s="776">
        <f t="shared" si="41"/>
        <v>0.51501305740711523</v>
      </c>
      <c r="H163" s="519">
        <f t="shared" si="42"/>
        <v>23.175587583320183</v>
      </c>
      <c r="I163" s="53"/>
      <c r="J163" s="776">
        <f t="shared" si="43"/>
        <v>1.3905352549992107</v>
      </c>
      <c r="K163" s="1212">
        <f>'Recycling - Case 2'!Z151</f>
        <v>2794.7176712203664</v>
      </c>
      <c r="L163" s="1211">
        <f t="shared" si="47"/>
        <v>0.1</v>
      </c>
      <c r="M163" s="1211">
        <f t="shared" si="47"/>
        <v>0.9</v>
      </c>
      <c r="N163" s="53">
        <f t="shared" si="44"/>
        <v>0</v>
      </c>
      <c r="O163" s="53">
        <f t="shared" si="44"/>
        <v>0</v>
      </c>
      <c r="P163" s="776">
        <f t="shared" si="45"/>
        <v>0.22357741369762935</v>
      </c>
      <c r="Q163" s="519">
        <f t="shared" si="37"/>
        <v>10.060983616393319</v>
      </c>
      <c r="R163" s="53"/>
      <c r="S163" s="1213">
        <f t="shared" si="38"/>
        <v>0.60365901698359914</v>
      </c>
      <c r="T163" s="1200">
        <f t="shared" si="39"/>
        <v>0.73859047110474463</v>
      </c>
      <c r="U163" s="1201">
        <f t="shared" si="39"/>
        <v>33.236571199713502</v>
      </c>
      <c r="V163" s="1201">
        <f t="shared" si="39"/>
        <v>0</v>
      </c>
      <c r="W163" s="1202">
        <f t="shared" si="39"/>
        <v>1.9941942719828099</v>
      </c>
    </row>
    <row r="164" spans="1:23">
      <c r="A164" s="123">
        <f>'Input data'!A132</f>
        <v>2032</v>
      </c>
      <c r="B164" s="1210">
        <f>'Recycling - Case 2'!AI112</f>
        <v>6437.663217588939</v>
      </c>
      <c r="C164" s="1211">
        <f t="shared" si="46"/>
        <v>0.1</v>
      </c>
      <c r="D164" s="1211">
        <f t="shared" si="46"/>
        <v>0.9</v>
      </c>
      <c r="E164" s="53">
        <v>0</v>
      </c>
      <c r="F164" s="53">
        <v>0</v>
      </c>
      <c r="G164" s="776">
        <f t="shared" si="41"/>
        <v>0.51501305740711523</v>
      </c>
      <c r="H164" s="519">
        <f t="shared" si="42"/>
        <v>23.175587583320183</v>
      </c>
      <c r="I164" s="53"/>
      <c r="J164" s="776">
        <f t="shared" si="43"/>
        <v>1.3905352549992107</v>
      </c>
      <c r="K164" s="1212">
        <f>'Recycling - Case 2'!Z152</f>
        <v>2846.9523358072647</v>
      </c>
      <c r="L164" s="1211">
        <f t="shared" si="47"/>
        <v>0.1</v>
      </c>
      <c r="M164" s="1211">
        <f t="shared" si="47"/>
        <v>0.9</v>
      </c>
      <c r="N164" s="53">
        <f t="shared" si="44"/>
        <v>0</v>
      </c>
      <c r="O164" s="53">
        <f t="shared" si="44"/>
        <v>0</v>
      </c>
      <c r="P164" s="776">
        <f t="shared" si="45"/>
        <v>0.22775618686458121</v>
      </c>
      <c r="Q164" s="519">
        <f t="shared" si="37"/>
        <v>10.249028408906153</v>
      </c>
      <c r="R164" s="53"/>
      <c r="S164" s="1213">
        <f t="shared" si="38"/>
        <v>0.61494170453436914</v>
      </c>
      <c r="T164" s="1200">
        <f t="shared" si="39"/>
        <v>0.74276924427169644</v>
      </c>
      <c r="U164" s="1201">
        <f t="shared" si="39"/>
        <v>33.424615992226336</v>
      </c>
      <c r="V164" s="1201">
        <f t="shared" si="39"/>
        <v>0</v>
      </c>
      <c r="W164" s="1202">
        <f t="shared" si="39"/>
        <v>2.00547695953358</v>
      </c>
    </row>
    <row r="165" spans="1:23">
      <c r="A165" s="123">
        <f>'Input data'!A133</f>
        <v>2033</v>
      </c>
      <c r="B165" s="1210">
        <f>'Recycling - Case 2'!AI113</f>
        <v>6437.663217588939</v>
      </c>
      <c r="C165" s="1211">
        <f t="shared" si="46"/>
        <v>0.1</v>
      </c>
      <c r="D165" s="1211">
        <f t="shared" si="46"/>
        <v>0.9</v>
      </c>
      <c r="E165" s="53">
        <v>0</v>
      </c>
      <c r="F165" s="53">
        <v>0</v>
      </c>
      <c r="G165" s="776">
        <f t="shared" si="41"/>
        <v>0.51501305740711523</v>
      </c>
      <c r="H165" s="519">
        <f t="shared" si="42"/>
        <v>23.175587583320183</v>
      </c>
      <c r="I165" s="53"/>
      <c r="J165" s="776">
        <f t="shared" si="43"/>
        <v>1.3905352549992107</v>
      </c>
      <c r="K165" s="1212">
        <f>'Recycling - Case 2'!Z153</f>
        <v>2904.9661085485213</v>
      </c>
      <c r="L165" s="1211">
        <f t="shared" si="47"/>
        <v>0.1</v>
      </c>
      <c r="M165" s="1211">
        <f t="shared" si="47"/>
        <v>0.9</v>
      </c>
      <c r="N165" s="53">
        <f t="shared" si="44"/>
        <v>0</v>
      </c>
      <c r="O165" s="53">
        <f t="shared" si="44"/>
        <v>0</v>
      </c>
      <c r="P165" s="776">
        <f t="shared" si="45"/>
        <v>0.23239728868388176</v>
      </c>
      <c r="Q165" s="519">
        <f t="shared" si="37"/>
        <v>10.457877990774678</v>
      </c>
      <c r="R165" s="53"/>
      <c r="S165" s="1213">
        <f t="shared" si="38"/>
        <v>0.62747267944648055</v>
      </c>
      <c r="T165" s="1200">
        <f t="shared" si="39"/>
        <v>0.74741034609099699</v>
      </c>
      <c r="U165" s="1201">
        <f t="shared" si="39"/>
        <v>33.633465574094863</v>
      </c>
      <c r="V165" s="1201">
        <f t="shared" si="39"/>
        <v>0</v>
      </c>
      <c r="W165" s="1202">
        <f t="shared" si="39"/>
        <v>2.0180079344456914</v>
      </c>
    </row>
    <row r="166" spans="1:23">
      <c r="A166" s="123">
        <f>'Input data'!A134</f>
        <v>2034</v>
      </c>
      <c r="B166" s="1210">
        <f>'Recycling - Case 2'!AI114</f>
        <v>6437.663217588939</v>
      </c>
      <c r="C166" s="1211">
        <f t="shared" si="46"/>
        <v>0.1</v>
      </c>
      <c r="D166" s="1211">
        <f t="shared" si="46"/>
        <v>0.9</v>
      </c>
      <c r="E166" s="53">
        <v>0</v>
      </c>
      <c r="F166" s="53">
        <v>0</v>
      </c>
      <c r="G166" s="776">
        <f t="shared" si="41"/>
        <v>0.51501305740711523</v>
      </c>
      <c r="H166" s="519">
        <f t="shared" si="42"/>
        <v>23.175587583320183</v>
      </c>
      <c r="I166" s="53"/>
      <c r="J166" s="776">
        <f t="shared" si="43"/>
        <v>1.3905352549992107</v>
      </c>
      <c r="K166" s="1212">
        <f>'Recycling - Case 2'!Z154</f>
        <v>2966.9991858332214</v>
      </c>
      <c r="L166" s="1211">
        <f t="shared" si="47"/>
        <v>0.1</v>
      </c>
      <c r="M166" s="1211">
        <f t="shared" si="47"/>
        <v>0.9</v>
      </c>
      <c r="N166" s="53">
        <f t="shared" si="44"/>
        <v>0</v>
      </c>
      <c r="O166" s="53">
        <f t="shared" si="44"/>
        <v>0</v>
      </c>
      <c r="P166" s="776">
        <f t="shared" si="45"/>
        <v>0.23735993486665777</v>
      </c>
      <c r="Q166" s="519">
        <f t="shared" si="37"/>
        <v>10.681197068999598</v>
      </c>
      <c r="R166" s="53"/>
      <c r="S166" s="1213">
        <f t="shared" si="38"/>
        <v>0.64087182413997579</v>
      </c>
      <c r="T166" s="1200">
        <f t="shared" si="39"/>
        <v>0.75237299227377297</v>
      </c>
      <c r="U166" s="1201">
        <f t="shared" si="39"/>
        <v>33.856784652319782</v>
      </c>
      <c r="V166" s="1201">
        <f t="shared" si="39"/>
        <v>0</v>
      </c>
      <c r="W166" s="1202">
        <f t="shared" si="39"/>
        <v>2.0314070791391865</v>
      </c>
    </row>
    <row r="167" spans="1:23">
      <c r="A167" s="123">
        <f>'Input data'!A135</f>
        <v>2035</v>
      </c>
      <c r="B167" s="1210">
        <f>'Recycling - Case 2'!AI115</f>
        <v>6437.663217588939</v>
      </c>
      <c r="C167" s="1211">
        <f t="shared" si="46"/>
        <v>0.1</v>
      </c>
      <c r="D167" s="1211">
        <f t="shared" si="46"/>
        <v>0.9</v>
      </c>
      <c r="E167" s="53">
        <v>0</v>
      </c>
      <c r="F167" s="53">
        <v>0</v>
      </c>
      <c r="G167" s="776">
        <f t="shared" si="41"/>
        <v>0.51501305740711523</v>
      </c>
      <c r="H167" s="519">
        <f t="shared" si="42"/>
        <v>23.175587583320183</v>
      </c>
      <c r="I167" s="53"/>
      <c r="J167" s="776">
        <f t="shared" si="43"/>
        <v>1.3905352549992107</v>
      </c>
      <c r="K167" s="1212">
        <f>'Recycling - Case 2'!Z155</f>
        <v>3033.3014163221746</v>
      </c>
      <c r="L167" s="1211">
        <f t="shared" si="47"/>
        <v>0.1</v>
      </c>
      <c r="M167" s="1211">
        <f t="shared" si="47"/>
        <v>0.9</v>
      </c>
      <c r="N167" s="53">
        <f t="shared" ref="N167:O182" si="48">N165</f>
        <v>0</v>
      </c>
      <c r="O167" s="53">
        <f t="shared" si="48"/>
        <v>0</v>
      </c>
      <c r="P167" s="776">
        <f t="shared" si="45"/>
        <v>0.242664113305774</v>
      </c>
      <c r="Q167" s="519">
        <f t="shared" si="37"/>
        <v>10.919885098759829</v>
      </c>
      <c r="R167" s="53"/>
      <c r="S167" s="1213">
        <f t="shared" si="38"/>
        <v>0.65519310592558977</v>
      </c>
      <c r="T167" s="1200">
        <f t="shared" si="39"/>
        <v>0.7576771707128892</v>
      </c>
      <c r="U167" s="1201">
        <f t="shared" si="39"/>
        <v>34.095472682080015</v>
      </c>
      <c r="V167" s="1201">
        <f t="shared" si="39"/>
        <v>0</v>
      </c>
      <c r="W167" s="1202">
        <f t="shared" si="39"/>
        <v>2.0457283609248007</v>
      </c>
    </row>
    <row r="168" spans="1:23">
      <c r="A168" s="123">
        <f>'Input data'!A136</f>
        <v>2036</v>
      </c>
      <c r="B168" s="1210">
        <f>'Recycling - Case 2'!AI116</f>
        <v>6437.663217588939</v>
      </c>
      <c r="C168" s="1211">
        <f t="shared" si="46"/>
        <v>0.1</v>
      </c>
      <c r="D168" s="1211">
        <f t="shared" si="46"/>
        <v>0.9</v>
      </c>
      <c r="E168" s="53">
        <v>0</v>
      </c>
      <c r="F168" s="53">
        <v>0</v>
      </c>
      <c r="G168" s="776">
        <f t="shared" si="41"/>
        <v>0.51501305740711523</v>
      </c>
      <c r="H168" s="519">
        <f t="shared" si="42"/>
        <v>23.175587583320183</v>
      </c>
      <c r="I168" s="53"/>
      <c r="J168" s="776">
        <f t="shared" si="43"/>
        <v>1.3905352549992107</v>
      </c>
      <c r="K168" s="1212">
        <f>'Recycling - Case 2'!Z156</f>
        <v>3101.5644156492149</v>
      </c>
      <c r="L168" s="1211">
        <f t="shared" si="47"/>
        <v>0.1</v>
      </c>
      <c r="M168" s="1211">
        <f t="shared" si="47"/>
        <v>0.9</v>
      </c>
      <c r="N168" s="53">
        <f t="shared" si="48"/>
        <v>0</v>
      </c>
      <c r="O168" s="53">
        <f t="shared" si="48"/>
        <v>0</v>
      </c>
      <c r="P168" s="776">
        <f t="shared" si="45"/>
        <v>0.24812515325193724</v>
      </c>
      <c r="Q168" s="519">
        <f t="shared" si="37"/>
        <v>11.165631896337175</v>
      </c>
      <c r="R168" s="53"/>
      <c r="S168" s="1213">
        <f t="shared" si="38"/>
        <v>0.66993791378023038</v>
      </c>
      <c r="T168" s="1200">
        <f t="shared" si="39"/>
        <v>0.76313821065905252</v>
      </c>
      <c r="U168" s="1201">
        <f t="shared" si="39"/>
        <v>34.341219479657354</v>
      </c>
      <c r="V168" s="1201">
        <f t="shared" si="39"/>
        <v>0</v>
      </c>
      <c r="W168" s="1202">
        <f t="shared" si="39"/>
        <v>2.0604731687794411</v>
      </c>
    </row>
    <row r="169" spans="1:23">
      <c r="A169" s="123">
        <f>'Input data'!A137</f>
        <v>2037</v>
      </c>
      <c r="B169" s="1210">
        <f>'Recycling - Case 2'!AI117</f>
        <v>6437.663217588939</v>
      </c>
      <c r="C169" s="1211">
        <f t="shared" si="46"/>
        <v>0.1</v>
      </c>
      <c r="D169" s="1211">
        <f t="shared" si="46"/>
        <v>0.9</v>
      </c>
      <c r="E169" s="53">
        <v>0</v>
      </c>
      <c r="F169" s="53">
        <v>0</v>
      </c>
      <c r="G169" s="776">
        <f t="shared" si="41"/>
        <v>0.51501305740711523</v>
      </c>
      <c r="H169" s="519">
        <f t="shared" si="42"/>
        <v>23.175587583320183</v>
      </c>
      <c r="I169" s="53"/>
      <c r="J169" s="776">
        <f t="shared" si="43"/>
        <v>1.3905352549992107</v>
      </c>
      <c r="K169" s="1212">
        <f>'Recycling - Case 2'!Z157</f>
        <v>3172.7332635313132</v>
      </c>
      <c r="L169" s="1211">
        <f t="shared" si="47"/>
        <v>0.1</v>
      </c>
      <c r="M169" s="1211">
        <f t="shared" si="47"/>
        <v>0.9</v>
      </c>
      <c r="N169" s="53">
        <f t="shared" si="48"/>
        <v>0</v>
      </c>
      <c r="O169" s="53">
        <f t="shared" si="48"/>
        <v>0</v>
      </c>
      <c r="P169" s="776">
        <f t="shared" si="45"/>
        <v>0.25381866108250511</v>
      </c>
      <c r="Q169" s="519">
        <f t="shared" si="37"/>
        <v>11.421839748712728</v>
      </c>
      <c r="R169" s="53"/>
      <c r="S169" s="1213">
        <f t="shared" si="38"/>
        <v>0.68531038492276364</v>
      </c>
      <c r="T169" s="1200">
        <f t="shared" si="39"/>
        <v>0.76883171848962029</v>
      </c>
      <c r="U169" s="1201">
        <f t="shared" si="39"/>
        <v>34.597427332032908</v>
      </c>
      <c r="V169" s="1201">
        <f t="shared" si="39"/>
        <v>0</v>
      </c>
      <c r="W169" s="1202">
        <f t="shared" si="39"/>
        <v>2.0758456399219742</v>
      </c>
    </row>
    <row r="170" spans="1:23">
      <c r="A170" s="123">
        <f>'Input data'!A138</f>
        <v>2038</v>
      </c>
      <c r="B170" s="1210">
        <f>'Recycling - Case 2'!AI118</f>
        <v>6437.663217588939</v>
      </c>
      <c r="C170" s="1211">
        <f t="shared" si="46"/>
        <v>0.1</v>
      </c>
      <c r="D170" s="1211">
        <f t="shared" si="46"/>
        <v>0.9</v>
      </c>
      <c r="E170" s="53">
        <v>0</v>
      </c>
      <c r="F170" s="53">
        <v>0</v>
      </c>
      <c r="G170" s="776">
        <f t="shared" si="41"/>
        <v>0.51501305740711523</v>
      </c>
      <c r="H170" s="519">
        <f t="shared" si="42"/>
        <v>23.175587583320183</v>
      </c>
      <c r="I170" s="53"/>
      <c r="J170" s="776">
        <f t="shared" si="43"/>
        <v>1.3905352549992107</v>
      </c>
      <c r="K170" s="1212">
        <f>'Recycling - Case 2'!Z158</f>
        <v>3244.988409938665</v>
      </c>
      <c r="L170" s="1211">
        <f t="shared" si="47"/>
        <v>0.1</v>
      </c>
      <c r="M170" s="1211">
        <f t="shared" si="47"/>
        <v>0.9</v>
      </c>
      <c r="N170" s="53">
        <f t="shared" si="48"/>
        <v>0</v>
      </c>
      <c r="O170" s="53">
        <f t="shared" si="48"/>
        <v>0</v>
      </c>
      <c r="P170" s="776">
        <f t="shared" si="45"/>
        <v>0.25959907279509326</v>
      </c>
      <c r="Q170" s="519">
        <f t="shared" si="37"/>
        <v>11.681958275779195</v>
      </c>
      <c r="R170" s="53"/>
      <c r="S170" s="1213">
        <f t="shared" si="38"/>
        <v>0.70091749654675162</v>
      </c>
      <c r="T170" s="1200">
        <f t="shared" si="39"/>
        <v>0.77461213020220843</v>
      </c>
      <c r="U170" s="1201">
        <f t="shared" si="39"/>
        <v>34.857545859099375</v>
      </c>
      <c r="V170" s="1201">
        <f t="shared" si="39"/>
        <v>0</v>
      </c>
      <c r="W170" s="1202">
        <f t="shared" si="39"/>
        <v>2.0914527515459622</v>
      </c>
    </row>
    <row r="171" spans="1:23">
      <c r="A171" s="123">
        <f>'Input data'!A139</f>
        <v>2039</v>
      </c>
      <c r="B171" s="1210">
        <f>'Recycling - Case 2'!AI119</f>
        <v>6437.663217588939</v>
      </c>
      <c r="C171" s="1211">
        <f t="shared" si="46"/>
        <v>0.1</v>
      </c>
      <c r="D171" s="1211">
        <f t="shared" si="46"/>
        <v>0.9</v>
      </c>
      <c r="E171" s="53">
        <v>0</v>
      </c>
      <c r="F171" s="53">
        <v>0</v>
      </c>
      <c r="G171" s="776">
        <f t="shared" si="41"/>
        <v>0.51501305740711523</v>
      </c>
      <c r="H171" s="519">
        <f t="shared" si="42"/>
        <v>23.175587583320183</v>
      </c>
      <c r="I171" s="53"/>
      <c r="J171" s="776">
        <f t="shared" si="43"/>
        <v>1.3905352549992107</v>
      </c>
      <c r="K171" s="1212">
        <f>'Recycling - Case 2'!Z159</f>
        <v>3320.2145828125908</v>
      </c>
      <c r="L171" s="1211">
        <f t="shared" si="47"/>
        <v>0.1</v>
      </c>
      <c r="M171" s="1211">
        <f t="shared" si="47"/>
        <v>0.9</v>
      </c>
      <c r="N171" s="53">
        <f t="shared" si="48"/>
        <v>0</v>
      </c>
      <c r="O171" s="53">
        <f t="shared" si="48"/>
        <v>0</v>
      </c>
      <c r="P171" s="776">
        <f t="shared" si="45"/>
        <v>0.26561716662500734</v>
      </c>
      <c r="Q171" s="519">
        <f t="shared" si="37"/>
        <v>11.952772498125327</v>
      </c>
      <c r="R171" s="53"/>
      <c r="S171" s="1213">
        <f t="shared" si="38"/>
        <v>0.71716634988751959</v>
      </c>
      <c r="T171" s="1200">
        <f t="shared" si="39"/>
        <v>0.78063022403212257</v>
      </c>
      <c r="U171" s="1201">
        <f t="shared" si="39"/>
        <v>35.128360081445507</v>
      </c>
      <c r="V171" s="1201">
        <f t="shared" si="39"/>
        <v>0</v>
      </c>
      <c r="W171" s="1202">
        <f t="shared" si="39"/>
        <v>2.1077016048867305</v>
      </c>
    </row>
    <row r="172" spans="1:23">
      <c r="A172" s="123">
        <f>'Input data'!A140</f>
        <v>2040</v>
      </c>
      <c r="B172" s="1210">
        <f>'Recycling - Case 2'!AI120</f>
        <v>6437.663217588939</v>
      </c>
      <c r="C172" s="1211">
        <f t="shared" ref="C172:D182" si="49">C171</f>
        <v>0.1</v>
      </c>
      <c r="D172" s="1211">
        <f t="shared" si="49"/>
        <v>0.9</v>
      </c>
      <c r="E172" s="53">
        <v>0</v>
      </c>
      <c r="F172" s="53">
        <v>0</v>
      </c>
      <c r="G172" s="776">
        <f t="shared" si="41"/>
        <v>0.51501305740711523</v>
      </c>
      <c r="H172" s="519">
        <f t="shared" si="42"/>
        <v>23.175587583320183</v>
      </c>
      <c r="I172" s="53"/>
      <c r="J172" s="776">
        <f t="shared" si="43"/>
        <v>1.3905352549992107</v>
      </c>
      <c r="K172" s="1212">
        <f>'Recycling - Case 2'!Z160</f>
        <v>3400.0466614335983</v>
      </c>
      <c r="L172" s="1211">
        <f t="shared" ref="L172:M182" si="50">L171</f>
        <v>0.1</v>
      </c>
      <c r="M172" s="1211">
        <f t="shared" si="50"/>
        <v>0.9</v>
      </c>
      <c r="N172" s="53">
        <f t="shared" si="48"/>
        <v>0</v>
      </c>
      <c r="O172" s="53">
        <f t="shared" si="48"/>
        <v>0</v>
      </c>
      <c r="P172" s="776">
        <f t="shared" si="45"/>
        <v>0.27200373291468793</v>
      </c>
      <c r="Q172" s="519">
        <f t="shared" si="37"/>
        <v>12.240167981160953</v>
      </c>
      <c r="R172" s="53"/>
      <c r="S172" s="1213">
        <f t="shared" si="38"/>
        <v>0.73441007886965726</v>
      </c>
      <c r="T172" s="1200">
        <f t="shared" si="39"/>
        <v>0.78701679032180316</v>
      </c>
      <c r="U172" s="1201">
        <f t="shared" si="39"/>
        <v>35.415755564481138</v>
      </c>
      <c r="V172" s="1201">
        <f t="shared" si="39"/>
        <v>0</v>
      </c>
      <c r="W172" s="1202">
        <f t="shared" si="39"/>
        <v>2.124945333868868</v>
      </c>
    </row>
    <row r="173" spans="1:23">
      <c r="A173" s="123">
        <f>'Input data'!A141</f>
        <v>2041</v>
      </c>
      <c r="B173" s="1210">
        <f>'Recycling - Case 2'!AI121</f>
        <v>6437.663217588939</v>
      </c>
      <c r="C173" s="1211">
        <f t="shared" si="49"/>
        <v>0.1</v>
      </c>
      <c r="D173" s="1211">
        <f t="shared" si="49"/>
        <v>0.9</v>
      </c>
      <c r="E173" s="53">
        <v>0</v>
      </c>
      <c r="F173" s="53">
        <v>0</v>
      </c>
      <c r="G173" s="776">
        <f t="shared" si="41"/>
        <v>0.51501305740711523</v>
      </c>
      <c r="H173" s="519">
        <f t="shared" si="42"/>
        <v>23.175587583320183</v>
      </c>
      <c r="I173" s="53"/>
      <c r="J173" s="776">
        <f t="shared" si="43"/>
        <v>1.3905352549992107</v>
      </c>
      <c r="K173" s="1212">
        <f>'Recycling - Case 2'!Z161</f>
        <v>3483.1647930935037</v>
      </c>
      <c r="L173" s="1211">
        <f t="shared" si="50"/>
        <v>0.1</v>
      </c>
      <c r="M173" s="1211">
        <f t="shared" si="50"/>
        <v>0.9</v>
      </c>
      <c r="N173" s="53">
        <f t="shared" si="48"/>
        <v>0</v>
      </c>
      <c r="O173" s="53">
        <f t="shared" si="48"/>
        <v>0</v>
      </c>
      <c r="P173" s="776">
        <f t="shared" si="45"/>
        <v>0.27865318344748036</v>
      </c>
      <c r="Q173" s="519">
        <f t="shared" si="37"/>
        <v>12.539393255136615</v>
      </c>
      <c r="R173" s="53"/>
      <c r="S173" s="1213">
        <f t="shared" si="38"/>
        <v>0.75236359530819674</v>
      </c>
      <c r="T173" s="1200">
        <f t="shared" si="39"/>
        <v>0.79366624085459558</v>
      </c>
      <c r="U173" s="1201">
        <f t="shared" si="39"/>
        <v>35.714980838456796</v>
      </c>
      <c r="V173" s="1201">
        <f t="shared" si="39"/>
        <v>0</v>
      </c>
      <c r="W173" s="1202">
        <f t="shared" si="39"/>
        <v>2.1428988503074073</v>
      </c>
    </row>
    <row r="174" spans="1:23">
      <c r="A174" s="123">
        <f>'Input data'!A142</f>
        <v>2042</v>
      </c>
      <c r="B174" s="1210">
        <f>'Recycling - Case 2'!AI122</f>
        <v>6437.663217588939</v>
      </c>
      <c r="C174" s="1211">
        <f t="shared" si="49"/>
        <v>0.1</v>
      </c>
      <c r="D174" s="1211">
        <f t="shared" si="49"/>
        <v>0.9</v>
      </c>
      <c r="E174" s="53">
        <v>0</v>
      </c>
      <c r="F174" s="53">
        <v>0</v>
      </c>
      <c r="G174" s="776">
        <f t="shared" si="41"/>
        <v>0.51501305740711523</v>
      </c>
      <c r="H174" s="519">
        <f t="shared" si="42"/>
        <v>23.175587583320183</v>
      </c>
      <c r="I174" s="53"/>
      <c r="J174" s="776">
        <f t="shared" si="43"/>
        <v>1.3905352549992107</v>
      </c>
      <c r="K174" s="1212">
        <f>'Recycling - Case 2'!Z162</f>
        <v>3569.829689438367</v>
      </c>
      <c r="L174" s="1211">
        <f t="shared" si="50"/>
        <v>0.1</v>
      </c>
      <c r="M174" s="1211">
        <f t="shared" si="50"/>
        <v>0.9</v>
      </c>
      <c r="N174" s="53">
        <f t="shared" si="48"/>
        <v>0</v>
      </c>
      <c r="O174" s="53">
        <f t="shared" si="48"/>
        <v>0</v>
      </c>
      <c r="P174" s="776">
        <f t="shared" si="45"/>
        <v>0.28558637515506941</v>
      </c>
      <c r="Q174" s="519">
        <f t="shared" si="37"/>
        <v>12.851386881978122</v>
      </c>
      <c r="R174" s="53"/>
      <c r="S174" s="1213">
        <f t="shared" si="38"/>
        <v>0.77108321291868731</v>
      </c>
      <c r="T174" s="1200">
        <f t="shared" si="39"/>
        <v>0.80059943256218458</v>
      </c>
      <c r="U174" s="1201">
        <f t="shared" si="39"/>
        <v>36.026974465298309</v>
      </c>
      <c r="V174" s="1201">
        <f t="shared" si="39"/>
        <v>0</v>
      </c>
      <c r="W174" s="1202">
        <f t="shared" si="39"/>
        <v>2.161618467917898</v>
      </c>
    </row>
    <row r="175" spans="1:23">
      <c r="A175" s="123">
        <f>'Input data'!A143</f>
        <v>2043</v>
      </c>
      <c r="B175" s="1210">
        <f>'Recycling - Case 2'!AI123</f>
        <v>6437.663217588939</v>
      </c>
      <c r="C175" s="1211">
        <f t="shared" si="49"/>
        <v>0.1</v>
      </c>
      <c r="D175" s="1211">
        <f t="shared" si="49"/>
        <v>0.9</v>
      </c>
      <c r="E175" s="53">
        <v>0</v>
      </c>
      <c r="F175" s="53">
        <v>0</v>
      </c>
      <c r="G175" s="776">
        <f t="shared" si="41"/>
        <v>0.51501305740711523</v>
      </c>
      <c r="H175" s="519">
        <f t="shared" si="42"/>
        <v>23.175587583320183</v>
      </c>
      <c r="I175" s="53"/>
      <c r="J175" s="776">
        <f t="shared" si="43"/>
        <v>1.3905352549992107</v>
      </c>
      <c r="K175" s="1212">
        <f>'Recycling - Case 2'!Z163</f>
        <v>3659.8240907631371</v>
      </c>
      <c r="L175" s="1211">
        <f t="shared" si="50"/>
        <v>0.1</v>
      </c>
      <c r="M175" s="1211">
        <f t="shared" si="50"/>
        <v>0.9</v>
      </c>
      <c r="N175" s="53">
        <f t="shared" si="48"/>
        <v>0</v>
      </c>
      <c r="O175" s="53">
        <f t="shared" si="48"/>
        <v>0</v>
      </c>
      <c r="P175" s="776">
        <f t="shared" si="45"/>
        <v>0.29278592726105102</v>
      </c>
      <c r="Q175" s="519">
        <f t="shared" si="37"/>
        <v>13.175366726747294</v>
      </c>
      <c r="R175" s="53"/>
      <c r="S175" s="1213">
        <f t="shared" si="38"/>
        <v>0.7905220036048376</v>
      </c>
      <c r="T175" s="1200">
        <f t="shared" si="39"/>
        <v>0.80779898466816624</v>
      </c>
      <c r="U175" s="1201">
        <f t="shared" si="39"/>
        <v>36.350954310067479</v>
      </c>
      <c r="V175" s="1201">
        <f t="shared" si="39"/>
        <v>0</v>
      </c>
      <c r="W175" s="1202">
        <f t="shared" si="39"/>
        <v>2.1810572586040484</v>
      </c>
    </row>
    <row r="176" spans="1:23">
      <c r="A176" s="123">
        <f>'Input data'!A144</f>
        <v>2044</v>
      </c>
      <c r="B176" s="1210">
        <f>'Recycling - Case 2'!AI124</f>
        <v>6437.663217588939</v>
      </c>
      <c r="C176" s="1211">
        <f t="shared" si="49"/>
        <v>0.1</v>
      </c>
      <c r="D176" s="1211">
        <f t="shared" si="49"/>
        <v>0.9</v>
      </c>
      <c r="E176" s="53">
        <v>0</v>
      </c>
      <c r="F176" s="53">
        <v>0</v>
      </c>
      <c r="G176" s="776">
        <f t="shared" si="41"/>
        <v>0.51501305740711523</v>
      </c>
      <c r="H176" s="519">
        <f t="shared" si="42"/>
        <v>23.175587583320183</v>
      </c>
      <c r="I176" s="53"/>
      <c r="J176" s="776">
        <f t="shared" si="43"/>
        <v>1.3905352549992107</v>
      </c>
      <c r="K176" s="1212">
        <f>'Recycling - Case 2'!Z164</f>
        <v>3753.6313999115555</v>
      </c>
      <c r="L176" s="1211">
        <f t="shared" si="50"/>
        <v>0.1</v>
      </c>
      <c r="M176" s="1211">
        <f t="shared" si="50"/>
        <v>0.9</v>
      </c>
      <c r="N176" s="53">
        <f t="shared" si="48"/>
        <v>0</v>
      </c>
      <c r="O176" s="53">
        <f t="shared" si="48"/>
        <v>0</v>
      </c>
      <c r="P176" s="776">
        <f t="shared" si="45"/>
        <v>0.3002905119929245</v>
      </c>
      <c r="Q176" s="519">
        <f t="shared" si="37"/>
        <v>13.513073039681601</v>
      </c>
      <c r="R176" s="53"/>
      <c r="S176" s="1213">
        <f t="shared" si="38"/>
        <v>0.81078438238089601</v>
      </c>
      <c r="T176" s="1200">
        <f t="shared" si="39"/>
        <v>0.81530356940003967</v>
      </c>
      <c r="U176" s="1201">
        <f t="shared" si="39"/>
        <v>36.68866062300178</v>
      </c>
      <c r="V176" s="1201">
        <f t="shared" si="39"/>
        <v>0</v>
      </c>
      <c r="W176" s="1202">
        <f t="shared" si="39"/>
        <v>2.2013196373801067</v>
      </c>
    </row>
    <row r="177" spans="1:23">
      <c r="A177" s="123">
        <f>'Input data'!A145</f>
        <v>2045</v>
      </c>
      <c r="B177" s="1210">
        <f>'Recycling - Case 2'!AI125</f>
        <v>6437.663217588939</v>
      </c>
      <c r="C177" s="1211">
        <f t="shared" si="49"/>
        <v>0.1</v>
      </c>
      <c r="D177" s="1211">
        <f t="shared" si="49"/>
        <v>0.9</v>
      </c>
      <c r="E177" s="53">
        <v>0</v>
      </c>
      <c r="F177" s="53">
        <v>0</v>
      </c>
      <c r="G177" s="776">
        <f t="shared" si="41"/>
        <v>0.51501305740711523</v>
      </c>
      <c r="H177" s="519">
        <f t="shared" si="42"/>
        <v>23.175587583320183</v>
      </c>
      <c r="I177" s="53"/>
      <c r="J177" s="776">
        <f t="shared" si="43"/>
        <v>1.3905352549992107</v>
      </c>
      <c r="K177" s="1212">
        <f>'Recycling - Case 2'!Z165</f>
        <v>3853.2612691553395</v>
      </c>
      <c r="L177" s="1211">
        <f t="shared" si="50"/>
        <v>0.1</v>
      </c>
      <c r="M177" s="1211">
        <f t="shared" si="50"/>
        <v>0.9</v>
      </c>
      <c r="N177" s="53">
        <f t="shared" si="48"/>
        <v>0</v>
      </c>
      <c r="O177" s="53">
        <f t="shared" si="48"/>
        <v>0</v>
      </c>
      <c r="P177" s="776">
        <f t="shared" si="45"/>
        <v>0.30826090153242725</v>
      </c>
      <c r="Q177" s="519">
        <f t="shared" si="37"/>
        <v>13.871740568959224</v>
      </c>
      <c r="R177" s="53"/>
      <c r="S177" s="1213">
        <f t="shared" si="38"/>
        <v>0.83230443413755339</v>
      </c>
      <c r="T177" s="1200">
        <f t="shared" si="39"/>
        <v>0.82327395893954247</v>
      </c>
      <c r="U177" s="1201">
        <f t="shared" si="39"/>
        <v>37.047328152279405</v>
      </c>
      <c r="V177" s="1201">
        <f t="shared" si="39"/>
        <v>0</v>
      </c>
      <c r="W177" s="1202">
        <f t="shared" si="39"/>
        <v>2.2228396891367641</v>
      </c>
    </row>
    <row r="178" spans="1:23">
      <c r="A178" s="123">
        <f>'Input data'!A146</f>
        <v>2046</v>
      </c>
      <c r="B178" s="1210">
        <f>'Recycling - Case 2'!AI126</f>
        <v>6437.663217588939</v>
      </c>
      <c r="C178" s="1211">
        <f t="shared" si="49"/>
        <v>0.1</v>
      </c>
      <c r="D178" s="1211">
        <f t="shared" si="49"/>
        <v>0.9</v>
      </c>
      <c r="E178" s="53">
        <v>0</v>
      </c>
      <c r="F178" s="53">
        <v>0</v>
      </c>
      <c r="G178" s="776">
        <f t="shared" si="41"/>
        <v>0.51501305740711523</v>
      </c>
      <c r="H178" s="519">
        <f t="shared" si="42"/>
        <v>23.175587583320183</v>
      </c>
      <c r="I178" s="53"/>
      <c r="J178" s="776">
        <f t="shared" si="43"/>
        <v>1.3905352549992107</v>
      </c>
      <c r="K178" s="1212">
        <f>'Recycling - Case 2'!Z166</f>
        <v>3957.8175022111564</v>
      </c>
      <c r="L178" s="1211">
        <f t="shared" si="50"/>
        <v>0.1</v>
      </c>
      <c r="M178" s="1211">
        <f t="shared" si="50"/>
        <v>0.9</v>
      </c>
      <c r="N178" s="53">
        <f t="shared" si="48"/>
        <v>0</v>
      </c>
      <c r="O178" s="53">
        <f t="shared" si="48"/>
        <v>0</v>
      </c>
      <c r="P178" s="776">
        <f t="shared" si="45"/>
        <v>0.31662540017689256</v>
      </c>
      <c r="Q178" s="519">
        <f t="shared" si="37"/>
        <v>14.248143007960163</v>
      </c>
      <c r="R178" s="53"/>
      <c r="S178" s="1213">
        <f t="shared" si="38"/>
        <v>0.85488858047760974</v>
      </c>
      <c r="T178" s="1200">
        <f t="shared" si="39"/>
        <v>0.83163845758400778</v>
      </c>
      <c r="U178" s="1201">
        <f t="shared" si="39"/>
        <v>37.423730591280346</v>
      </c>
      <c r="V178" s="1201">
        <f t="shared" si="39"/>
        <v>0</v>
      </c>
      <c r="W178" s="1202">
        <f t="shared" si="39"/>
        <v>2.2454238354768203</v>
      </c>
    </row>
    <row r="179" spans="1:23">
      <c r="A179" s="123">
        <f>'Input data'!A147</f>
        <v>2047</v>
      </c>
      <c r="B179" s="1210">
        <f>'Recycling - Case 2'!AI127</f>
        <v>6437.663217588939</v>
      </c>
      <c r="C179" s="1211">
        <f t="shared" si="49"/>
        <v>0.1</v>
      </c>
      <c r="D179" s="1211">
        <f t="shared" si="49"/>
        <v>0.9</v>
      </c>
      <c r="E179" s="53">
        <v>0</v>
      </c>
      <c r="F179" s="53">
        <v>0</v>
      </c>
      <c r="G179" s="776">
        <f t="shared" si="41"/>
        <v>0.51501305740711523</v>
      </c>
      <c r="H179" s="519">
        <f t="shared" si="42"/>
        <v>23.175587583320183</v>
      </c>
      <c r="I179" s="53"/>
      <c r="J179" s="776">
        <f t="shared" si="43"/>
        <v>1.3905352549992107</v>
      </c>
      <c r="K179" s="1212">
        <f>'Recycling - Case 2'!Z167</f>
        <v>4067.3652769905207</v>
      </c>
      <c r="L179" s="1211">
        <f t="shared" si="50"/>
        <v>0.1</v>
      </c>
      <c r="M179" s="1211">
        <f t="shared" si="50"/>
        <v>0.9</v>
      </c>
      <c r="N179" s="53">
        <f t="shared" si="48"/>
        <v>0</v>
      </c>
      <c r="O179" s="53">
        <f t="shared" si="48"/>
        <v>0</v>
      </c>
      <c r="P179" s="776">
        <f t="shared" si="45"/>
        <v>0.32538922215924176</v>
      </c>
      <c r="Q179" s="519">
        <f t="shared" si="37"/>
        <v>14.642514997165874</v>
      </c>
      <c r="R179" s="53"/>
      <c r="S179" s="1213">
        <f t="shared" si="38"/>
        <v>0.87855089982995238</v>
      </c>
      <c r="T179" s="1200">
        <f t="shared" si="39"/>
        <v>0.84040227956635705</v>
      </c>
      <c r="U179" s="1201">
        <f t="shared" si="39"/>
        <v>37.818102580486055</v>
      </c>
      <c r="V179" s="1201">
        <f t="shared" si="39"/>
        <v>0</v>
      </c>
      <c r="W179" s="1202">
        <f t="shared" si="39"/>
        <v>2.269086154829163</v>
      </c>
    </row>
    <row r="180" spans="1:23">
      <c r="A180" s="123">
        <f>'Input data'!A148</f>
        <v>2048</v>
      </c>
      <c r="B180" s="1210">
        <f>'Recycling - Case 2'!AI128</f>
        <v>6437.663217588939</v>
      </c>
      <c r="C180" s="1211">
        <f t="shared" si="49"/>
        <v>0.1</v>
      </c>
      <c r="D180" s="1211">
        <f t="shared" si="49"/>
        <v>0.9</v>
      </c>
      <c r="E180" s="53">
        <v>0</v>
      </c>
      <c r="F180" s="53">
        <v>0</v>
      </c>
      <c r="G180" s="776">
        <f t="shared" si="41"/>
        <v>0.51501305740711523</v>
      </c>
      <c r="H180" s="519">
        <f t="shared" si="42"/>
        <v>23.175587583320183</v>
      </c>
      <c r="I180" s="53"/>
      <c r="J180" s="776">
        <f t="shared" si="43"/>
        <v>1.3905352549992107</v>
      </c>
      <c r="K180" s="1212">
        <f>'Recycling - Case 2'!Z168</f>
        <v>4178.1731580591822</v>
      </c>
      <c r="L180" s="1211">
        <f t="shared" si="50"/>
        <v>0.1</v>
      </c>
      <c r="M180" s="1211">
        <f t="shared" si="50"/>
        <v>0.9</v>
      </c>
      <c r="N180" s="53">
        <f t="shared" si="48"/>
        <v>0</v>
      </c>
      <c r="O180" s="53">
        <f t="shared" si="48"/>
        <v>0</v>
      </c>
      <c r="P180" s="776">
        <f t="shared" si="45"/>
        <v>0.33425385264473467</v>
      </c>
      <c r="Q180" s="519">
        <f t="shared" si="37"/>
        <v>15.041423369013057</v>
      </c>
      <c r="R180" s="53"/>
      <c r="S180" s="1213">
        <f t="shared" si="38"/>
        <v>0.90248540214078332</v>
      </c>
      <c r="T180" s="1200">
        <f t="shared" si="39"/>
        <v>0.84926691005184995</v>
      </c>
      <c r="U180" s="1201">
        <f t="shared" si="39"/>
        <v>38.21701095233324</v>
      </c>
      <c r="V180" s="1201">
        <f t="shared" si="39"/>
        <v>0</v>
      </c>
      <c r="W180" s="1202">
        <f t="shared" si="39"/>
        <v>2.2930206571399943</v>
      </c>
    </row>
    <row r="181" spans="1:23">
      <c r="A181" s="123">
        <f>'Input data'!A149</f>
        <v>2049</v>
      </c>
      <c r="B181" s="1210">
        <f>'Recycling - Case 2'!AI129</f>
        <v>6437.663217588939</v>
      </c>
      <c r="C181" s="1211">
        <f t="shared" si="49"/>
        <v>0.1</v>
      </c>
      <c r="D181" s="1211">
        <f t="shared" si="49"/>
        <v>0.9</v>
      </c>
      <c r="E181" s="53">
        <v>0</v>
      </c>
      <c r="F181" s="53">
        <v>0</v>
      </c>
      <c r="G181" s="776">
        <f t="shared" si="41"/>
        <v>0.51501305740711523</v>
      </c>
      <c r="H181" s="519">
        <f t="shared" si="42"/>
        <v>23.175587583320183</v>
      </c>
      <c r="I181" s="53"/>
      <c r="J181" s="776">
        <f t="shared" si="43"/>
        <v>1.3905352549992107</v>
      </c>
      <c r="K181" s="1212">
        <f>'Recycling - Case 2'!Z169</f>
        <v>4294.4451207098782</v>
      </c>
      <c r="L181" s="1211">
        <f t="shared" si="50"/>
        <v>0.1</v>
      </c>
      <c r="M181" s="1211">
        <f t="shared" si="50"/>
        <v>0.9</v>
      </c>
      <c r="N181" s="53">
        <f t="shared" si="48"/>
        <v>0</v>
      </c>
      <c r="O181" s="53">
        <f t="shared" si="48"/>
        <v>0</v>
      </c>
      <c r="P181" s="776">
        <f t="shared" si="45"/>
        <v>0.34355560965679027</v>
      </c>
      <c r="Q181" s="519">
        <f t="shared" si="37"/>
        <v>15.460002434555561</v>
      </c>
      <c r="R181" s="53"/>
      <c r="S181" s="1213">
        <f t="shared" si="38"/>
        <v>0.92760014607333374</v>
      </c>
      <c r="T181" s="1200">
        <f t="shared" si="39"/>
        <v>0.85856866706390544</v>
      </c>
      <c r="U181" s="1201">
        <f t="shared" si="39"/>
        <v>38.635590017875742</v>
      </c>
      <c r="V181" s="1201">
        <f t="shared" si="39"/>
        <v>0</v>
      </c>
      <c r="W181" s="1202">
        <f t="shared" si="39"/>
        <v>2.3181354010725443</v>
      </c>
    </row>
    <row r="182" spans="1:23" ht="15" thickBot="1">
      <c r="A182" s="123">
        <f>'Input data'!A150</f>
        <v>2050</v>
      </c>
      <c r="B182" s="1210">
        <f>'Recycling - Case 2'!AI130</f>
        <v>6437.663217588939</v>
      </c>
      <c r="C182" s="578">
        <f t="shared" si="49"/>
        <v>0.1</v>
      </c>
      <c r="D182" s="578">
        <f t="shared" si="49"/>
        <v>0.9</v>
      </c>
      <c r="E182" s="1214">
        <v>0</v>
      </c>
      <c r="F182" s="1214">
        <v>0</v>
      </c>
      <c r="G182" s="1215">
        <f t="shared" si="41"/>
        <v>0.51501305740711523</v>
      </c>
      <c r="H182" s="1146">
        <f t="shared" si="42"/>
        <v>23.175587583320183</v>
      </c>
      <c r="I182" s="1214"/>
      <c r="J182" s="1215">
        <f t="shared" si="43"/>
        <v>1.3905352549992107</v>
      </c>
      <c r="K182" s="1212">
        <f>'Recycling - Case 2'!Z170</f>
        <v>4416.6156843527096</v>
      </c>
      <c r="L182" s="578">
        <f t="shared" si="50"/>
        <v>0.1</v>
      </c>
      <c r="M182" s="578">
        <f t="shared" si="50"/>
        <v>0.9</v>
      </c>
      <c r="N182" s="1214">
        <f t="shared" si="48"/>
        <v>0</v>
      </c>
      <c r="O182" s="1214">
        <f t="shared" si="48"/>
        <v>0</v>
      </c>
      <c r="P182" s="1215">
        <f t="shared" si="45"/>
        <v>0.35332925474821686</v>
      </c>
      <c r="Q182" s="1146">
        <f t="shared" si="37"/>
        <v>15.899816463669755</v>
      </c>
      <c r="R182" s="1214"/>
      <c r="S182" s="1216">
        <f t="shared" si="38"/>
        <v>0.95398898782018526</v>
      </c>
      <c r="T182" s="1217">
        <f t="shared" si="39"/>
        <v>0.86834231215533209</v>
      </c>
      <c r="U182" s="1218">
        <f t="shared" si="39"/>
        <v>39.075404046989938</v>
      </c>
      <c r="V182" s="1218">
        <f t="shared" si="39"/>
        <v>0</v>
      </c>
      <c r="W182" s="1219">
        <f t="shared" si="39"/>
        <v>2.344524242819396</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3707.5237846120858</v>
      </c>
      <c r="C184" s="1211">
        <f>($C$188-$C$80)/($A$188-$A$80)+C80</f>
        <v>6.0000000000000005E-2</v>
      </c>
      <c r="D184" s="1211">
        <f>1-C184</f>
        <v>0.94</v>
      </c>
      <c r="E184" s="53">
        <v>0</v>
      </c>
      <c r="F184" s="53">
        <v>0</v>
      </c>
      <c r="G184" s="776">
        <f t="shared" ref="G184:G216" si="51">C184*$D$5*B184/1000-E184</f>
        <v>0.17796114166138013</v>
      </c>
      <c r="H184" s="519">
        <f t="shared" ref="H184:H216" si="52">D184*$D$4*B184/1000-F184</f>
        <v>13.940289430141442</v>
      </c>
      <c r="I184" s="53"/>
      <c r="J184" s="776">
        <f t="shared" ref="J184:J216" si="53">D184*$D$7*B184/1000</f>
        <v>0.83641736580848647</v>
      </c>
      <c r="K184" s="1212">
        <f>'Recycling - Case 3'!Z138</f>
        <v>1787.3285316252955</v>
      </c>
      <c r="L184" s="1211">
        <f>($L$188-$L$80)/($A$188-$A$80)+L80</f>
        <v>0.1</v>
      </c>
      <c r="M184" s="1211">
        <f>1-L184</f>
        <v>0.9</v>
      </c>
      <c r="N184" s="53">
        <f>N148</f>
        <v>0</v>
      </c>
      <c r="O184" s="53">
        <f>O148</f>
        <v>0</v>
      </c>
      <c r="P184" s="776">
        <f t="shared" ref="P184:P216" si="54">L184*$D$5*K184/1000-N184</f>
        <v>0.14298628253002366</v>
      </c>
      <c r="Q184" s="519">
        <f t="shared" ref="Q184:Q216" si="55">M184*$D$4*K184/1000-O184</f>
        <v>6.4343827138510639</v>
      </c>
      <c r="R184" s="53"/>
      <c r="S184" s="1213">
        <f t="shared" ref="S184:S216" si="56">M184*$D$7*K184/1000</f>
        <v>0.38606296283106384</v>
      </c>
      <c r="T184" s="1200">
        <f t="shared" ref="T184:W216" si="57">G184+P184</f>
        <v>0.32094742419140376</v>
      </c>
      <c r="U184" s="1201">
        <f t="shared" si="57"/>
        <v>20.374672143992505</v>
      </c>
      <c r="V184" s="1201">
        <f t="shared" si="57"/>
        <v>0</v>
      </c>
      <c r="W184" s="1202">
        <f t="shared" si="57"/>
        <v>1.2224803286395503</v>
      </c>
    </row>
    <row r="185" spans="1:23">
      <c r="A185" s="123">
        <f>'Input data'!A119</f>
        <v>2019</v>
      </c>
      <c r="B185" s="1210">
        <f>'Recycling - Case 2'!AI99</f>
        <v>4010.8726104984025</v>
      </c>
      <c r="C185" s="1211">
        <f>($C$188-$C$80)/($A$188-$A$80)+C184</f>
        <v>7.0000000000000007E-2</v>
      </c>
      <c r="D185" s="1211">
        <f t="shared" ref="D185:D216" si="58">1-C185</f>
        <v>0.92999999999999994</v>
      </c>
      <c r="E185" s="53">
        <v>0</v>
      </c>
      <c r="F185" s="53">
        <v>0</v>
      </c>
      <c r="G185" s="776">
        <f t="shared" si="51"/>
        <v>0.22460886618791057</v>
      </c>
      <c r="H185" s="519">
        <f t="shared" si="52"/>
        <v>14.920446111054057</v>
      </c>
      <c r="I185" s="53"/>
      <c r="J185" s="776">
        <f t="shared" si="53"/>
        <v>0.8952267666632433</v>
      </c>
      <c r="K185" s="1212">
        <f>'Recycling - Case 3'!Z139</f>
        <v>1877.2124191793723</v>
      </c>
      <c r="L185" s="1211">
        <f>($L$188-$L$80)/($A$188-$A$80)+L184</f>
        <v>0.1</v>
      </c>
      <c r="M185" s="1211">
        <f t="shared" ref="M185:M216" si="59">1-L185</f>
        <v>0.9</v>
      </c>
      <c r="N185" s="53">
        <f t="shared" ref="N185:O200" si="60">N183</f>
        <v>0</v>
      </c>
      <c r="O185" s="53">
        <f t="shared" si="60"/>
        <v>0</v>
      </c>
      <c r="P185" s="776">
        <f t="shared" si="54"/>
        <v>0.1501769935343498</v>
      </c>
      <c r="Q185" s="519">
        <f t="shared" si="55"/>
        <v>6.7579647090457398</v>
      </c>
      <c r="R185" s="53"/>
      <c r="S185" s="1213">
        <f t="shared" si="56"/>
        <v>0.40547788254274442</v>
      </c>
      <c r="T185" s="1200">
        <f t="shared" si="57"/>
        <v>0.37478585972226036</v>
      </c>
      <c r="U185" s="1201">
        <f t="shared" si="57"/>
        <v>21.678410820099796</v>
      </c>
      <c r="V185" s="1201">
        <f t="shared" si="57"/>
        <v>0</v>
      </c>
      <c r="W185" s="1202">
        <f t="shared" si="57"/>
        <v>1.3007046492059877</v>
      </c>
    </row>
    <row r="186" spans="1:23">
      <c r="A186" s="123">
        <f>'Input data'!A120</f>
        <v>2020</v>
      </c>
      <c r="B186" s="1210">
        <f>'Recycling - Case 2'!AI100</f>
        <v>4617.5702622710369</v>
      </c>
      <c r="C186" s="1211">
        <f t="shared" ref="C186:C187" si="61">($C$188-$C$80)/($A$188-$A$80)+C185</f>
        <v>0.08</v>
      </c>
      <c r="D186" s="1211">
        <f t="shared" si="58"/>
        <v>0.92</v>
      </c>
      <c r="E186" s="53">
        <v>0</v>
      </c>
      <c r="F186" s="53">
        <v>0</v>
      </c>
      <c r="G186" s="776">
        <f t="shared" si="51"/>
        <v>0.29552449678534637</v>
      </c>
      <c r="H186" s="519">
        <f t="shared" si="52"/>
        <v>16.992658565157416</v>
      </c>
      <c r="I186" s="53"/>
      <c r="J186" s="776">
        <f t="shared" si="53"/>
        <v>1.0195595139094449</v>
      </c>
      <c r="K186" s="1212">
        <f>'Recycling - Case 3'!Z140</f>
        <v>1902.4705235478471</v>
      </c>
      <c r="L186" s="1211">
        <f t="shared" ref="L186:L187" si="62">($L$188-$L$80)/($A$188-$A$80)+L185</f>
        <v>0.1</v>
      </c>
      <c r="M186" s="1211">
        <f t="shared" si="59"/>
        <v>0.9</v>
      </c>
      <c r="N186" s="53">
        <f t="shared" si="60"/>
        <v>0</v>
      </c>
      <c r="O186" s="53">
        <f t="shared" si="60"/>
        <v>0</v>
      </c>
      <c r="P186" s="776">
        <f t="shared" si="54"/>
        <v>0.15219764188382781</v>
      </c>
      <c r="Q186" s="519">
        <f t="shared" si="55"/>
        <v>6.8488938847722496</v>
      </c>
      <c r="R186" s="53"/>
      <c r="S186" s="1213">
        <f t="shared" si="56"/>
        <v>0.41093363308633496</v>
      </c>
      <c r="T186" s="1200">
        <f t="shared" si="57"/>
        <v>0.44772213866917421</v>
      </c>
      <c r="U186" s="1201">
        <f t="shared" si="57"/>
        <v>23.841552449929665</v>
      </c>
      <c r="V186" s="1201">
        <f t="shared" si="57"/>
        <v>0</v>
      </c>
      <c r="W186" s="1202">
        <f t="shared" si="57"/>
        <v>1.4304931469957798</v>
      </c>
    </row>
    <row r="187" spans="1:23">
      <c r="A187" s="123">
        <f>'Input data'!A121</f>
        <v>2021</v>
      </c>
      <c r="B187" s="1210">
        <f>'Recycling - Case 2'!AI101</f>
        <v>5830.9655658163047</v>
      </c>
      <c r="C187" s="1211">
        <f t="shared" si="61"/>
        <v>0.09</v>
      </c>
      <c r="D187" s="1211">
        <f t="shared" si="58"/>
        <v>0.91</v>
      </c>
      <c r="E187" s="53">
        <v>0</v>
      </c>
      <c r="F187" s="53">
        <v>0</v>
      </c>
      <c r="G187" s="776">
        <f t="shared" si="51"/>
        <v>0.41982952073877389</v>
      </c>
      <c r="H187" s="519">
        <f t="shared" si="52"/>
        <v>21.224714659571351</v>
      </c>
      <c r="I187" s="53"/>
      <c r="J187" s="776">
        <f t="shared" si="53"/>
        <v>1.273482879574281</v>
      </c>
      <c r="K187" s="1212">
        <f>'Recycling - Case 3'!Z141</f>
        <v>2238.7918742794518</v>
      </c>
      <c r="L187" s="1211">
        <f t="shared" si="62"/>
        <v>0.1</v>
      </c>
      <c r="M187" s="1211">
        <f t="shared" si="59"/>
        <v>0.9</v>
      </c>
      <c r="N187" s="53">
        <f t="shared" si="60"/>
        <v>0</v>
      </c>
      <c r="O187" s="53">
        <f t="shared" si="60"/>
        <v>0</v>
      </c>
      <c r="P187" s="776">
        <f t="shared" si="54"/>
        <v>0.17910334994235619</v>
      </c>
      <c r="Q187" s="519">
        <f t="shared" si="55"/>
        <v>8.0596507474060264</v>
      </c>
      <c r="R187" s="53"/>
      <c r="S187" s="1213">
        <f t="shared" si="56"/>
        <v>0.48357904484436159</v>
      </c>
      <c r="T187" s="1200">
        <f t="shared" si="57"/>
        <v>0.5989328706811301</v>
      </c>
      <c r="U187" s="1201">
        <f t="shared" si="57"/>
        <v>29.284365406977379</v>
      </c>
      <c r="V187" s="1201">
        <f t="shared" si="57"/>
        <v>0</v>
      </c>
      <c r="W187" s="1202">
        <f t="shared" si="57"/>
        <v>1.7570619244186425</v>
      </c>
    </row>
    <row r="188" spans="1:23">
      <c r="A188" s="123">
        <f>'Input data'!A122</f>
        <v>2022</v>
      </c>
      <c r="B188" s="1210">
        <f>'Recycling - Case 2'!AI102</f>
        <v>6437.663217588939</v>
      </c>
      <c r="C188" s="1211">
        <f>'Recycling - Case 2'!E31</f>
        <v>0.1</v>
      </c>
      <c r="D188" s="1211">
        <f t="shared" si="58"/>
        <v>0.9</v>
      </c>
      <c r="E188" s="53">
        <v>0</v>
      </c>
      <c r="F188" s="53">
        <v>0</v>
      </c>
      <c r="G188" s="776">
        <f t="shared" si="51"/>
        <v>0.51501305740711523</v>
      </c>
      <c r="H188" s="519">
        <f t="shared" si="52"/>
        <v>23.175587583320183</v>
      </c>
      <c r="I188" s="53"/>
      <c r="J188" s="776">
        <f t="shared" si="53"/>
        <v>1.3905352549992107</v>
      </c>
      <c r="K188" s="1212">
        <f>'Recycling - Case 3'!Z142</f>
        <v>2423.2959109577191</v>
      </c>
      <c r="L188" s="1211">
        <f>'Recycling - Case 2'!E31</f>
        <v>0.1</v>
      </c>
      <c r="M188" s="1211">
        <f t="shared" si="59"/>
        <v>0.9</v>
      </c>
      <c r="N188" s="53">
        <f t="shared" si="60"/>
        <v>0</v>
      </c>
      <c r="O188" s="53">
        <f t="shared" si="60"/>
        <v>0</v>
      </c>
      <c r="P188" s="776">
        <f t="shared" si="54"/>
        <v>0.19386367287661754</v>
      </c>
      <c r="Q188" s="519">
        <f t="shared" si="55"/>
        <v>8.7238652794477893</v>
      </c>
      <c r="R188" s="53"/>
      <c r="S188" s="1213">
        <f t="shared" si="56"/>
        <v>0.52343191676686729</v>
      </c>
      <c r="T188" s="1200">
        <f t="shared" si="57"/>
        <v>0.70887673028373277</v>
      </c>
      <c r="U188" s="1201">
        <f t="shared" si="57"/>
        <v>31.899452862767973</v>
      </c>
      <c r="V188" s="1201">
        <f t="shared" si="57"/>
        <v>0</v>
      </c>
      <c r="W188" s="1202">
        <f t="shared" si="57"/>
        <v>1.913967171766078</v>
      </c>
    </row>
    <row r="189" spans="1:23">
      <c r="A189" s="123">
        <f>'Input data'!A123</f>
        <v>2023</v>
      </c>
      <c r="B189" s="1210">
        <f>'Recycling - Case 2'!AI103</f>
        <v>6437.663217588939</v>
      </c>
      <c r="C189" s="1211">
        <f>C188</f>
        <v>0.1</v>
      </c>
      <c r="D189" s="1211">
        <f t="shared" si="58"/>
        <v>0.9</v>
      </c>
      <c r="E189" s="53">
        <v>0</v>
      </c>
      <c r="F189" s="53">
        <v>0</v>
      </c>
      <c r="G189" s="776">
        <f t="shared" si="51"/>
        <v>0.51501305740711523</v>
      </c>
      <c r="H189" s="519">
        <f t="shared" si="52"/>
        <v>23.175587583320183</v>
      </c>
      <c r="I189" s="53"/>
      <c r="J189" s="776">
        <f t="shared" si="53"/>
        <v>1.3905352549992107</v>
      </c>
      <c r="K189" s="1212">
        <f>'Recycling - Case 3'!Z143</f>
        <v>2457.7370057009366</v>
      </c>
      <c r="L189" s="1211">
        <f>L188</f>
        <v>0.1</v>
      </c>
      <c r="M189" s="1211">
        <f t="shared" si="59"/>
        <v>0.9</v>
      </c>
      <c r="N189" s="53">
        <f t="shared" si="60"/>
        <v>0</v>
      </c>
      <c r="O189" s="53">
        <f t="shared" si="60"/>
        <v>0</v>
      </c>
      <c r="P189" s="776">
        <f t="shared" si="54"/>
        <v>0.19661896045607496</v>
      </c>
      <c r="Q189" s="519">
        <f t="shared" si="55"/>
        <v>8.8478532205233709</v>
      </c>
      <c r="R189" s="53"/>
      <c r="S189" s="1213">
        <f t="shared" si="56"/>
        <v>0.53087119323140231</v>
      </c>
      <c r="T189" s="1200">
        <f t="shared" si="57"/>
        <v>0.71163201786319019</v>
      </c>
      <c r="U189" s="1201">
        <f t="shared" si="57"/>
        <v>32.023440803843556</v>
      </c>
      <c r="V189" s="1201">
        <f t="shared" si="57"/>
        <v>0</v>
      </c>
      <c r="W189" s="1202">
        <f t="shared" si="57"/>
        <v>1.921406448230613</v>
      </c>
    </row>
    <row r="190" spans="1:23">
      <c r="A190" s="123">
        <f>'Input data'!A124</f>
        <v>2024</v>
      </c>
      <c r="B190" s="1210">
        <f>'Recycling - Case 2'!AI104</f>
        <v>6437.663217588939</v>
      </c>
      <c r="C190" s="1211">
        <f t="shared" ref="C190:C216" si="63">C189</f>
        <v>0.1</v>
      </c>
      <c r="D190" s="1211">
        <f t="shared" si="58"/>
        <v>0.9</v>
      </c>
      <c r="E190" s="53">
        <v>0</v>
      </c>
      <c r="F190" s="53">
        <v>0</v>
      </c>
      <c r="G190" s="776">
        <f t="shared" si="51"/>
        <v>0.51501305740711523</v>
      </c>
      <c r="H190" s="519">
        <f t="shared" si="52"/>
        <v>23.175587583320183</v>
      </c>
      <c r="I190" s="53"/>
      <c r="J190" s="776">
        <f t="shared" si="53"/>
        <v>1.3905352549992107</v>
      </c>
      <c r="K190" s="1212">
        <f>'Recycling - Case 3'!Z144</f>
        <v>2490.9560146032422</v>
      </c>
      <c r="L190" s="1211">
        <f t="shared" ref="L190:L216" si="64">L189</f>
        <v>0.1</v>
      </c>
      <c r="M190" s="1211">
        <f t="shared" si="59"/>
        <v>0.9</v>
      </c>
      <c r="N190" s="53">
        <f t="shared" si="60"/>
        <v>0</v>
      </c>
      <c r="O190" s="53">
        <f t="shared" si="60"/>
        <v>0</v>
      </c>
      <c r="P190" s="776">
        <f t="shared" si="54"/>
        <v>0.19927648116825941</v>
      </c>
      <c r="Q190" s="519">
        <f t="shared" si="55"/>
        <v>8.9674416525716723</v>
      </c>
      <c r="R190" s="53"/>
      <c r="S190" s="1213">
        <f t="shared" si="56"/>
        <v>0.53804649915430036</v>
      </c>
      <c r="T190" s="1200">
        <f t="shared" si="57"/>
        <v>0.71428953857537469</v>
      </c>
      <c r="U190" s="1201">
        <f t="shared" si="57"/>
        <v>32.143029235891859</v>
      </c>
      <c r="V190" s="1201">
        <f t="shared" si="57"/>
        <v>0</v>
      </c>
      <c r="W190" s="1202">
        <f t="shared" si="57"/>
        <v>1.9285817541535111</v>
      </c>
    </row>
    <row r="191" spans="1:23">
      <c r="A191" s="123">
        <f>'Input data'!A125</f>
        <v>2025</v>
      </c>
      <c r="B191" s="1210">
        <f>'Recycling - Case 2'!AI105</f>
        <v>6437.663217588939</v>
      </c>
      <c r="C191" s="1211">
        <f t="shared" si="63"/>
        <v>0.1</v>
      </c>
      <c r="D191" s="1211">
        <f t="shared" si="58"/>
        <v>0.9</v>
      </c>
      <c r="E191" s="53">
        <v>0</v>
      </c>
      <c r="F191" s="53">
        <v>0</v>
      </c>
      <c r="G191" s="776">
        <f t="shared" si="51"/>
        <v>0.51501305740711523</v>
      </c>
      <c r="H191" s="519">
        <f t="shared" si="52"/>
        <v>23.175587583320183</v>
      </c>
      <c r="I191" s="53"/>
      <c r="J191" s="776">
        <f t="shared" si="53"/>
        <v>1.3905352549992107</v>
      </c>
      <c r="K191" s="1212">
        <f>'Recycling - Case 3'!Z145</f>
        <v>2525.5926430810055</v>
      </c>
      <c r="L191" s="1211">
        <f t="shared" si="64"/>
        <v>0.1</v>
      </c>
      <c r="M191" s="1211">
        <f t="shared" si="59"/>
        <v>0.9</v>
      </c>
      <c r="N191" s="53">
        <f t="shared" si="60"/>
        <v>0</v>
      </c>
      <c r="O191" s="53">
        <f t="shared" si="60"/>
        <v>0</v>
      </c>
      <c r="P191" s="776">
        <f t="shared" si="54"/>
        <v>0.20204741144648047</v>
      </c>
      <c r="Q191" s="519">
        <f t="shared" si="55"/>
        <v>9.0921335150916196</v>
      </c>
      <c r="R191" s="53"/>
      <c r="S191" s="1213">
        <f t="shared" si="56"/>
        <v>0.54552801090549707</v>
      </c>
      <c r="T191" s="1200">
        <f t="shared" si="57"/>
        <v>0.71706046885359576</v>
      </c>
      <c r="U191" s="1201">
        <f t="shared" si="57"/>
        <v>32.267721098411805</v>
      </c>
      <c r="V191" s="1201">
        <f t="shared" si="57"/>
        <v>0</v>
      </c>
      <c r="W191" s="1202">
        <f t="shared" si="57"/>
        <v>1.9360632659047079</v>
      </c>
    </row>
    <row r="192" spans="1:23">
      <c r="A192" s="123">
        <f>'Input data'!A126</f>
        <v>2026</v>
      </c>
      <c r="B192" s="1210">
        <f>'Recycling - Case 2'!AI106</f>
        <v>6437.663217588939</v>
      </c>
      <c r="C192" s="1211">
        <f t="shared" si="63"/>
        <v>0.1</v>
      </c>
      <c r="D192" s="1211">
        <f t="shared" si="58"/>
        <v>0.9</v>
      </c>
      <c r="E192" s="53">
        <v>0</v>
      </c>
      <c r="F192" s="53">
        <v>0</v>
      </c>
      <c r="G192" s="776">
        <f t="shared" si="51"/>
        <v>0.51501305740711523</v>
      </c>
      <c r="H192" s="519">
        <f t="shared" si="52"/>
        <v>23.175587583320183</v>
      </c>
      <c r="I192" s="53"/>
      <c r="J192" s="776">
        <f t="shared" si="53"/>
        <v>1.3905352549992107</v>
      </c>
      <c r="K192" s="1212">
        <f>'Recycling - Case 3'!Z146</f>
        <v>2566.7307682324217</v>
      </c>
      <c r="L192" s="1211">
        <f t="shared" si="64"/>
        <v>0.1</v>
      </c>
      <c r="M192" s="1211">
        <f t="shared" si="59"/>
        <v>0.9</v>
      </c>
      <c r="N192" s="53">
        <f t="shared" si="60"/>
        <v>0</v>
      </c>
      <c r="O192" s="53">
        <f t="shared" si="60"/>
        <v>0</v>
      </c>
      <c r="P192" s="776">
        <f t="shared" si="54"/>
        <v>0.20533846145859377</v>
      </c>
      <c r="Q192" s="519">
        <f t="shared" si="55"/>
        <v>9.2402307656367189</v>
      </c>
      <c r="R192" s="53"/>
      <c r="S192" s="1213">
        <f t="shared" si="56"/>
        <v>0.55441384593820309</v>
      </c>
      <c r="T192" s="1200">
        <f t="shared" si="57"/>
        <v>0.72035151886570903</v>
      </c>
      <c r="U192" s="1201">
        <f t="shared" si="57"/>
        <v>32.415818348956904</v>
      </c>
      <c r="V192" s="1201">
        <f t="shared" si="57"/>
        <v>0</v>
      </c>
      <c r="W192" s="1202">
        <f t="shared" si="57"/>
        <v>1.9449491009374138</v>
      </c>
    </row>
    <row r="193" spans="1:23">
      <c r="A193" s="123">
        <f>'Input data'!A127</f>
        <v>2027</v>
      </c>
      <c r="B193" s="1210">
        <f>'Recycling - Case 2'!AI107</f>
        <v>6437.663217588939</v>
      </c>
      <c r="C193" s="1211">
        <f t="shared" si="63"/>
        <v>0.1</v>
      </c>
      <c r="D193" s="1211">
        <f t="shared" si="58"/>
        <v>0.9</v>
      </c>
      <c r="E193" s="53">
        <v>0</v>
      </c>
      <c r="F193" s="53">
        <v>0</v>
      </c>
      <c r="G193" s="776">
        <f t="shared" si="51"/>
        <v>0.51501305740711523</v>
      </c>
      <c r="H193" s="519">
        <f t="shared" si="52"/>
        <v>23.175587583320183</v>
      </c>
      <c r="I193" s="53"/>
      <c r="J193" s="776">
        <f t="shared" si="53"/>
        <v>1.3905352549992107</v>
      </c>
      <c r="K193" s="1212">
        <f>'Recycling - Case 3'!Z147</f>
        <v>2607.4669629294931</v>
      </c>
      <c r="L193" s="1211">
        <f t="shared" si="64"/>
        <v>0.1</v>
      </c>
      <c r="M193" s="1211">
        <f t="shared" si="59"/>
        <v>0.9</v>
      </c>
      <c r="N193" s="53">
        <f t="shared" si="60"/>
        <v>0</v>
      </c>
      <c r="O193" s="53">
        <f t="shared" si="60"/>
        <v>0</v>
      </c>
      <c r="P193" s="776">
        <f t="shared" si="54"/>
        <v>0.20859735703435947</v>
      </c>
      <c r="Q193" s="519">
        <f t="shared" si="55"/>
        <v>9.3868810665461755</v>
      </c>
      <c r="R193" s="53"/>
      <c r="S193" s="1213">
        <f t="shared" si="56"/>
        <v>0.56321286399277048</v>
      </c>
      <c r="T193" s="1200">
        <f t="shared" si="57"/>
        <v>0.72361041444147467</v>
      </c>
      <c r="U193" s="1201">
        <f t="shared" si="57"/>
        <v>32.562468649866361</v>
      </c>
      <c r="V193" s="1201">
        <f t="shared" si="57"/>
        <v>0</v>
      </c>
      <c r="W193" s="1202">
        <f t="shared" si="57"/>
        <v>1.9537481189919812</v>
      </c>
    </row>
    <row r="194" spans="1:23">
      <c r="A194" s="123">
        <f>'Input data'!A128</f>
        <v>2028</v>
      </c>
      <c r="B194" s="1210">
        <f>'Recycling - Case 2'!AI108</f>
        <v>6437.663217588939</v>
      </c>
      <c r="C194" s="1211">
        <f t="shared" si="63"/>
        <v>0.1</v>
      </c>
      <c r="D194" s="1211">
        <f t="shared" si="58"/>
        <v>0.9</v>
      </c>
      <c r="E194" s="53">
        <v>0</v>
      </c>
      <c r="F194" s="53">
        <v>0</v>
      </c>
      <c r="G194" s="776">
        <f t="shared" si="51"/>
        <v>0.51501305740711523</v>
      </c>
      <c r="H194" s="519">
        <f t="shared" si="52"/>
        <v>23.175587583320183</v>
      </c>
      <c r="I194" s="53"/>
      <c r="J194" s="776">
        <f t="shared" si="53"/>
        <v>1.3905352549992107</v>
      </c>
      <c r="K194" s="1212">
        <f>'Recycling - Case 3'!Z148</f>
        <v>2650.1584949720245</v>
      </c>
      <c r="L194" s="1211">
        <f t="shared" si="64"/>
        <v>0.1</v>
      </c>
      <c r="M194" s="1211">
        <f t="shared" si="59"/>
        <v>0.9</v>
      </c>
      <c r="N194" s="53">
        <f t="shared" si="60"/>
        <v>0</v>
      </c>
      <c r="O194" s="53">
        <f t="shared" si="60"/>
        <v>0</v>
      </c>
      <c r="P194" s="776">
        <f t="shared" si="54"/>
        <v>0.21201267959776199</v>
      </c>
      <c r="Q194" s="519">
        <f t="shared" si="55"/>
        <v>9.5405705818992885</v>
      </c>
      <c r="R194" s="53"/>
      <c r="S194" s="1213">
        <f t="shared" si="56"/>
        <v>0.57243423491395728</v>
      </c>
      <c r="T194" s="1200">
        <f t="shared" si="57"/>
        <v>0.72702573700487716</v>
      </c>
      <c r="U194" s="1201">
        <f t="shared" si="57"/>
        <v>32.716158165219468</v>
      </c>
      <c r="V194" s="1201">
        <f t="shared" si="57"/>
        <v>0</v>
      </c>
      <c r="W194" s="1202">
        <f t="shared" si="57"/>
        <v>1.962969489913168</v>
      </c>
    </row>
    <row r="195" spans="1:23">
      <c r="A195" s="123">
        <f>'Input data'!A129</f>
        <v>2029</v>
      </c>
      <c r="B195" s="1210">
        <f>'Recycling - Case 2'!AI109</f>
        <v>6437.663217588939</v>
      </c>
      <c r="C195" s="1211">
        <f t="shared" si="63"/>
        <v>0.1</v>
      </c>
      <c r="D195" s="1211">
        <f t="shared" si="58"/>
        <v>0.9</v>
      </c>
      <c r="E195" s="53">
        <v>0</v>
      </c>
      <c r="F195" s="53">
        <v>0</v>
      </c>
      <c r="G195" s="776">
        <f t="shared" si="51"/>
        <v>0.51501305740711523</v>
      </c>
      <c r="H195" s="519">
        <f t="shared" si="52"/>
        <v>23.175587583320183</v>
      </c>
      <c r="I195" s="53"/>
      <c r="J195" s="776">
        <f t="shared" si="53"/>
        <v>1.3905352549992107</v>
      </c>
      <c r="K195" s="1212">
        <f>'Recycling - Case 3'!Z149</f>
        <v>2694.2622150973871</v>
      </c>
      <c r="L195" s="1211">
        <f t="shared" si="64"/>
        <v>0.1</v>
      </c>
      <c r="M195" s="1211">
        <f t="shared" si="59"/>
        <v>0.9</v>
      </c>
      <c r="N195" s="53">
        <f t="shared" si="60"/>
        <v>0</v>
      </c>
      <c r="O195" s="53">
        <f t="shared" si="60"/>
        <v>0</v>
      </c>
      <c r="P195" s="776">
        <f t="shared" si="54"/>
        <v>0.215540977207791</v>
      </c>
      <c r="Q195" s="519">
        <f t="shared" si="55"/>
        <v>9.6993439743505938</v>
      </c>
      <c r="R195" s="53"/>
      <c r="S195" s="1213">
        <f t="shared" si="56"/>
        <v>0.58196063846103563</v>
      </c>
      <c r="T195" s="1200">
        <f t="shared" si="57"/>
        <v>0.7305540346149062</v>
      </c>
      <c r="U195" s="1201">
        <f t="shared" si="57"/>
        <v>32.874931557670777</v>
      </c>
      <c r="V195" s="1201">
        <f t="shared" si="57"/>
        <v>0</v>
      </c>
      <c r="W195" s="1202">
        <f t="shared" si="57"/>
        <v>1.9724958934602463</v>
      </c>
    </row>
    <row r="196" spans="1:23">
      <c r="A196" s="123">
        <f>'Input data'!A130</f>
        <v>2030</v>
      </c>
      <c r="B196" s="1210">
        <f>'Recycling - Case 2'!AI110</f>
        <v>6437.663217588939</v>
      </c>
      <c r="C196" s="1211">
        <f t="shared" si="63"/>
        <v>0.1</v>
      </c>
      <c r="D196" s="1211">
        <f t="shared" si="58"/>
        <v>0.9</v>
      </c>
      <c r="E196" s="53">
        <v>0</v>
      </c>
      <c r="F196" s="53">
        <v>0</v>
      </c>
      <c r="G196" s="776">
        <f t="shared" si="51"/>
        <v>0.51501305740711523</v>
      </c>
      <c r="H196" s="519">
        <f t="shared" si="52"/>
        <v>23.175587583320183</v>
      </c>
      <c r="I196" s="53"/>
      <c r="J196" s="776">
        <f t="shared" si="53"/>
        <v>1.3905352549992107</v>
      </c>
      <c r="K196" s="1212">
        <f>'Recycling - Case 3'!Z150</f>
        <v>2739.9084791286127</v>
      </c>
      <c r="L196" s="1211">
        <f t="shared" si="64"/>
        <v>0.1</v>
      </c>
      <c r="M196" s="1211">
        <f t="shared" si="59"/>
        <v>0.9</v>
      </c>
      <c r="N196" s="53">
        <f t="shared" si="60"/>
        <v>0</v>
      </c>
      <c r="O196" s="53">
        <f t="shared" si="60"/>
        <v>0</v>
      </c>
      <c r="P196" s="776">
        <f t="shared" si="54"/>
        <v>0.21919267833028905</v>
      </c>
      <c r="Q196" s="519">
        <f t="shared" si="55"/>
        <v>9.8636705248630054</v>
      </c>
      <c r="R196" s="53"/>
      <c r="S196" s="1213">
        <f t="shared" si="56"/>
        <v>0.59182023149178031</v>
      </c>
      <c r="T196" s="1200">
        <f t="shared" si="57"/>
        <v>0.73420573573740433</v>
      </c>
      <c r="U196" s="1201">
        <f t="shared" si="57"/>
        <v>33.039258108183191</v>
      </c>
      <c r="V196" s="1201">
        <f t="shared" si="57"/>
        <v>0</v>
      </c>
      <c r="W196" s="1202">
        <f t="shared" si="57"/>
        <v>1.9823554864909911</v>
      </c>
    </row>
    <row r="197" spans="1:23">
      <c r="A197" s="123">
        <f>'Input data'!A131</f>
        <v>2031</v>
      </c>
      <c r="B197" s="1210">
        <f>'Recycling - Case 2'!AI111</f>
        <v>6437.663217588939</v>
      </c>
      <c r="C197" s="1211">
        <f t="shared" si="63"/>
        <v>0.1</v>
      </c>
      <c r="D197" s="1211">
        <f t="shared" si="58"/>
        <v>0.9</v>
      </c>
      <c r="E197" s="53">
        <v>0</v>
      </c>
      <c r="F197" s="53">
        <v>0</v>
      </c>
      <c r="G197" s="776">
        <f t="shared" si="51"/>
        <v>0.51501305740711523</v>
      </c>
      <c r="H197" s="519">
        <f t="shared" si="52"/>
        <v>23.175587583320183</v>
      </c>
      <c r="I197" s="53"/>
      <c r="J197" s="776">
        <f t="shared" si="53"/>
        <v>1.3905352549992107</v>
      </c>
      <c r="K197" s="1212">
        <f>'Recycling - Case 3'!Z151</f>
        <v>2794.7176712203664</v>
      </c>
      <c r="L197" s="1211">
        <f t="shared" si="64"/>
        <v>0.1</v>
      </c>
      <c r="M197" s="1211">
        <f t="shared" si="59"/>
        <v>0.9</v>
      </c>
      <c r="N197" s="53">
        <f t="shared" si="60"/>
        <v>0</v>
      </c>
      <c r="O197" s="53">
        <f t="shared" si="60"/>
        <v>0</v>
      </c>
      <c r="P197" s="776">
        <f t="shared" si="54"/>
        <v>0.22357741369762935</v>
      </c>
      <c r="Q197" s="519">
        <f t="shared" si="55"/>
        <v>10.060983616393319</v>
      </c>
      <c r="R197" s="53"/>
      <c r="S197" s="1213">
        <f t="shared" si="56"/>
        <v>0.60365901698359914</v>
      </c>
      <c r="T197" s="1200">
        <f t="shared" si="57"/>
        <v>0.73859047110474463</v>
      </c>
      <c r="U197" s="1201">
        <f t="shared" si="57"/>
        <v>33.236571199713502</v>
      </c>
      <c r="V197" s="1201">
        <f t="shared" si="57"/>
        <v>0</v>
      </c>
      <c r="W197" s="1202">
        <f t="shared" si="57"/>
        <v>1.9941942719828099</v>
      </c>
    </row>
    <row r="198" spans="1:23">
      <c r="A198" s="123">
        <f>'Input data'!A132</f>
        <v>2032</v>
      </c>
      <c r="B198" s="1210">
        <f>'Recycling - Case 2'!AI112</f>
        <v>6437.663217588939</v>
      </c>
      <c r="C198" s="1211">
        <f t="shared" si="63"/>
        <v>0.1</v>
      </c>
      <c r="D198" s="1211">
        <f t="shared" si="58"/>
        <v>0.9</v>
      </c>
      <c r="E198" s="53">
        <v>0</v>
      </c>
      <c r="F198" s="53">
        <v>0</v>
      </c>
      <c r="G198" s="776">
        <f t="shared" si="51"/>
        <v>0.51501305740711523</v>
      </c>
      <c r="H198" s="519">
        <f t="shared" si="52"/>
        <v>23.175587583320183</v>
      </c>
      <c r="I198" s="53"/>
      <c r="J198" s="776">
        <f t="shared" si="53"/>
        <v>1.3905352549992107</v>
      </c>
      <c r="K198" s="1212">
        <f>'Recycling - Case 3'!Z152</f>
        <v>2846.9523358072647</v>
      </c>
      <c r="L198" s="1211">
        <f t="shared" si="64"/>
        <v>0.1</v>
      </c>
      <c r="M198" s="1211">
        <f t="shared" si="59"/>
        <v>0.9</v>
      </c>
      <c r="N198" s="53">
        <f t="shared" si="60"/>
        <v>0</v>
      </c>
      <c r="O198" s="53">
        <f t="shared" si="60"/>
        <v>0</v>
      </c>
      <c r="P198" s="776">
        <f t="shared" si="54"/>
        <v>0.22775618686458121</v>
      </c>
      <c r="Q198" s="519">
        <f t="shared" si="55"/>
        <v>10.249028408906153</v>
      </c>
      <c r="R198" s="53"/>
      <c r="S198" s="1213">
        <f t="shared" si="56"/>
        <v>0.61494170453436914</v>
      </c>
      <c r="T198" s="1200">
        <f t="shared" si="57"/>
        <v>0.74276924427169644</v>
      </c>
      <c r="U198" s="1201">
        <f t="shared" si="57"/>
        <v>33.424615992226336</v>
      </c>
      <c r="V198" s="1201">
        <f t="shared" si="57"/>
        <v>0</v>
      </c>
      <c r="W198" s="1202">
        <f t="shared" si="57"/>
        <v>2.00547695953358</v>
      </c>
    </row>
    <row r="199" spans="1:23">
      <c r="A199" s="123">
        <f>'Input data'!A133</f>
        <v>2033</v>
      </c>
      <c r="B199" s="1210">
        <f>'Recycling - Case 2'!AI113</f>
        <v>6437.663217588939</v>
      </c>
      <c r="C199" s="1211">
        <f t="shared" si="63"/>
        <v>0.1</v>
      </c>
      <c r="D199" s="1211">
        <f t="shared" si="58"/>
        <v>0.9</v>
      </c>
      <c r="E199" s="53">
        <v>0</v>
      </c>
      <c r="F199" s="53">
        <v>0</v>
      </c>
      <c r="G199" s="776">
        <f t="shared" si="51"/>
        <v>0.51501305740711523</v>
      </c>
      <c r="H199" s="519">
        <f t="shared" si="52"/>
        <v>23.175587583320183</v>
      </c>
      <c r="I199" s="53"/>
      <c r="J199" s="776">
        <f t="shared" si="53"/>
        <v>1.3905352549992107</v>
      </c>
      <c r="K199" s="1212">
        <f>'Recycling - Case 3'!Z153</f>
        <v>2904.9661085485213</v>
      </c>
      <c r="L199" s="1211">
        <f t="shared" si="64"/>
        <v>0.1</v>
      </c>
      <c r="M199" s="1211">
        <f t="shared" si="59"/>
        <v>0.9</v>
      </c>
      <c r="N199" s="53">
        <f t="shared" si="60"/>
        <v>0</v>
      </c>
      <c r="O199" s="53">
        <f t="shared" si="60"/>
        <v>0</v>
      </c>
      <c r="P199" s="776">
        <f t="shared" si="54"/>
        <v>0.23239728868388176</v>
      </c>
      <c r="Q199" s="519">
        <f t="shared" si="55"/>
        <v>10.457877990774678</v>
      </c>
      <c r="R199" s="53"/>
      <c r="S199" s="1213">
        <f t="shared" si="56"/>
        <v>0.62747267944648055</v>
      </c>
      <c r="T199" s="1200">
        <f t="shared" si="57"/>
        <v>0.74741034609099699</v>
      </c>
      <c r="U199" s="1201">
        <f t="shared" si="57"/>
        <v>33.633465574094863</v>
      </c>
      <c r="V199" s="1201">
        <f t="shared" si="57"/>
        <v>0</v>
      </c>
      <c r="W199" s="1202">
        <f t="shared" si="57"/>
        <v>2.0180079344456914</v>
      </c>
    </row>
    <row r="200" spans="1:23">
      <c r="A200" s="123">
        <f>'Input data'!A134</f>
        <v>2034</v>
      </c>
      <c r="B200" s="1210">
        <f>'Recycling - Case 2'!AI114</f>
        <v>6437.663217588939</v>
      </c>
      <c r="C200" s="1211">
        <f t="shared" si="63"/>
        <v>0.1</v>
      </c>
      <c r="D200" s="1211">
        <f t="shared" si="58"/>
        <v>0.9</v>
      </c>
      <c r="E200" s="53">
        <v>0</v>
      </c>
      <c r="F200" s="53">
        <v>0</v>
      </c>
      <c r="G200" s="776">
        <f t="shared" si="51"/>
        <v>0.51501305740711523</v>
      </c>
      <c r="H200" s="519">
        <f t="shared" si="52"/>
        <v>23.175587583320183</v>
      </c>
      <c r="I200" s="53"/>
      <c r="J200" s="776">
        <f t="shared" si="53"/>
        <v>1.3905352549992107</v>
      </c>
      <c r="K200" s="1212">
        <f>'Recycling - Case 3'!Z154</f>
        <v>2966.9991858332214</v>
      </c>
      <c r="L200" s="1211">
        <f t="shared" si="64"/>
        <v>0.1</v>
      </c>
      <c r="M200" s="1211">
        <f t="shared" si="59"/>
        <v>0.9</v>
      </c>
      <c r="N200" s="53">
        <f t="shared" si="60"/>
        <v>0</v>
      </c>
      <c r="O200" s="53">
        <f t="shared" si="60"/>
        <v>0</v>
      </c>
      <c r="P200" s="776">
        <f t="shared" si="54"/>
        <v>0.23735993486665777</v>
      </c>
      <c r="Q200" s="519">
        <f t="shared" si="55"/>
        <v>10.681197068999598</v>
      </c>
      <c r="R200" s="53"/>
      <c r="S200" s="1213">
        <f t="shared" si="56"/>
        <v>0.64087182413997579</v>
      </c>
      <c r="T200" s="1200">
        <f t="shared" si="57"/>
        <v>0.75237299227377297</v>
      </c>
      <c r="U200" s="1201">
        <f t="shared" si="57"/>
        <v>33.856784652319782</v>
      </c>
      <c r="V200" s="1201">
        <f t="shared" si="57"/>
        <v>0</v>
      </c>
      <c r="W200" s="1202">
        <f t="shared" si="57"/>
        <v>2.0314070791391865</v>
      </c>
    </row>
    <row r="201" spans="1:23">
      <c r="A201" s="123">
        <f>'Input data'!A135</f>
        <v>2035</v>
      </c>
      <c r="B201" s="1210">
        <f>'Recycling - Case 2'!AI115</f>
        <v>6437.663217588939</v>
      </c>
      <c r="C201" s="1211">
        <f t="shared" si="63"/>
        <v>0.1</v>
      </c>
      <c r="D201" s="1211">
        <f t="shared" si="58"/>
        <v>0.9</v>
      </c>
      <c r="E201" s="53">
        <v>0</v>
      </c>
      <c r="F201" s="53">
        <v>0</v>
      </c>
      <c r="G201" s="776">
        <f t="shared" si="51"/>
        <v>0.51501305740711523</v>
      </c>
      <c r="H201" s="519">
        <f t="shared" si="52"/>
        <v>23.175587583320183</v>
      </c>
      <c r="I201" s="53"/>
      <c r="J201" s="776">
        <f t="shared" si="53"/>
        <v>1.3905352549992107</v>
      </c>
      <c r="K201" s="1212">
        <f>'Recycling - Case 3'!Z155</f>
        <v>3033.3014163221746</v>
      </c>
      <c r="L201" s="1211">
        <f t="shared" si="64"/>
        <v>0.1</v>
      </c>
      <c r="M201" s="1211">
        <f t="shared" si="59"/>
        <v>0.9</v>
      </c>
      <c r="N201" s="53">
        <f t="shared" ref="N201:O216" si="65">N199</f>
        <v>0</v>
      </c>
      <c r="O201" s="53">
        <f t="shared" si="65"/>
        <v>0</v>
      </c>
      <c r="P201" s="776">
        <f t="shared" si="54"/>
        <v>0.242664113305774</v>
      </c>
      <c r="Q201" s="519">
        <f t="shared" si="55"/>
        <v>10.919885098759829</v>
      </c>
      <c r="R201" s="53"/>
      <c r="S201" s="1213">
        <f t="shared" si="56"/>
        <v>0.65519310592558977</v>
      </c>
      <c r="T201" s="1200">
        <f t="shared" si="57"/>
        <v>0.7576771707128892</v>
      </c>
      <c r="U201" s="1201">
        <f t="shared" si="57"/>
        <v>34.095472682080015</v>
      </c>
      <c r="V201" s="1201">
        <f t="shared" si="57"/>
        <v>0</v>
      </c>
      <c r="W201" s="1202">
        <f t="shared" si="57"/>
        <v>2.0457283609248007</v>
      </c>
    </row>
    <row r="202" spans="1:23">
      <c r="A202" s="123">
        <f>'Input data'!A136</f>
        <v>2036</v>
      </c>
      <c r="B202" s="1210">
        <f>'Recycling - Case 2'!AI116</f>
        <v>6437.663217588939</v>
      </c>
      <c r="C202" s="1211">
        <f t="shared" si="63"/>
        <v>0.1</v>
      </c>
      <c r="D202" s="1211">
        <f t="shared" si="58"/>
        <v>0.9</v>
      </c>
      <c r="E202" s="53">
        <v>0</v>
      </c>
      <c r="F202" s="53">
        <v>0</v>
      </c>
      <c r="G202" s="776">
        <f t="shared" si="51"/>
        <v>0.51501305740711523</v>
      </c>
      <c r="H202" s="519">
        <f t="shared" si="52"/>
        <v>23.175587583320183</v>
      </c>
      <c r="I202" s="53"/>
      <c r="J202" s="776">
        <f t="shared" si="53"/>
        <v>1.3905352549992107</v>
      </c>
      <c r="K202" s="1212">
        <f>'Recycling - Case 3'!Z156</f>
        <v>3101.5644156492149</v>
      </c>
      <c r="L202" s="1211">
        <f t="shared" si="64"/>
        <v>0.1</v>
      </c>
      <c r="M202" s="1211">
        <f t="shared" si="59"/>
        <v>0.9</v>
      </c>
      <c r="N202" s="53">
        <f t="shared" si="65"/>
        <v>0</v>
      </c>
      <c r="O202" s="53">
        <f t="shared" si="65"/>
        <v>0</v>
      </c>
      <c r="P202" s="776">
        <f t="shared" si="54"/>
        <v>0.24812515325193724</v>
      </c>
      <c r="Q202" s="519">
        <f t="shared" si="55"/>
        <v>11.165631896337175</v>
      </c>
      <c r="R202" s="53"/>
      <c r="S202" s="1213">
        <f t="shared" si="56"/>
        <v>0.66993791378023038</v>
      </c>
      <c r="T202" s="1200">
        <f t="shared" si="57"/>
        <v>0.76313821065905252</v>
      </c>
      <c r="U202" s="1201">
        <f t="shared" si="57"/>
        <v>34.341219479657354</v>
      </c>
      <c r="V202" s="1201">
        <f t="shared" si="57"/>
        <v>0</v>
      </c>
      <c r="W202" s="1202">
        <f t="shared" si="57"/>
        <v>2.0604731687794411</v>
      </c>
    </row>
    <row r="203" spans="1:23">
      <c r="A203" s="123">
        <f>'Input data'!A137</f>
        <v>2037</v>
      </c>
      <c r="B203" s="1210">
        <f>'Recycling - Case 2'!AI117</f>
        <v>6437.663217588939</v>
      </c>
      <c r="C203" s="1211">
        <f t="shared" si="63"/>
        <v>0.1</v>
      </c>
      <c r="D203" s="1211">
        <f t="shared" si="58"/>
        <v>0.9</v>
      </c>
      <c r="E203" s="53">
        <v>0</v>
      </c>
      <c r="F203" s="53">
        <v>0</v>
      </c>
      <c r="G203" s="776">
        <f t="shared" si="51"/>
        <v>0.51501305740711523</v>
      </c>
      <c r="H203" s="519">
        <f t="shared" si="52"/>
        <v>23.175587583320183</v>
      </c>
      <c r="I203" s="53"/>
      <c r="J203" s="776">
        <f t="shared" si="53"/>
        <v>1.3905352549992107</v>
      </c>
      <c r="K203" s="1212">
        <f>'Recycling - Case 3'!Z157</f>
        <v>3172.7332635313132</v>
      </c>
      <c r="L203" s="1211">
        <f t="shared" si="64"/>
        <v>0.1</v>
      </c>
      <c r="M203" s="1211">
        <f t="shared" si="59"/>
        <v>0.9</v>
      </c>
      <c r="N203" s="53">
        <f t="shared" si="65"/>
        <v>0</v>
      </c>
      <c r="O203" s="53">
        <f t="shared" si="65"/>
        <v>0</v>
      </c>
      <c r="P203" s="776">
        <f t="shared" si="54"/>
        <v>0.25381866108250511</v>
      </c>
      <c r="Q203" s="519">
        <f t="shared" si="55"/>
        <v>11.421839748712728</v>
      </c>
      <c r="R203" s="53"/>
      <c r="S203" s="1213">
        <f t="shared" si="56"/>
        <v>0.68531038492276364</v>
      </c>
      <c r="T203" s="1200">
        <f t="shared" si="57"/>
        <v>0.76883171848962029</v>
      </c>
      <c r="U203" s="1201">
        <f t="shared" si="57"/>
        <v>34.597427332032908</v>
      </c>
      <c r="V203" s="1201">
        <f t="shared" si="57"/>
        <v>0</v>
      </c>
      <c r="W203" s="1202">
        <f t="shared" si="57"/>
        <v>2.0758456399219742</v>
      </c>
    </row>
    <row r="204" spans="1:23">
      <c r="A204" s="123">
        <f>'Input data'!A138</f>
        <v>2038</v>
      </c>
      <c r="B204" s="1210">
        <f>'Recycling - Case 2'!AI118</f>
        <v>6437.663217588939</v>
      </c>
      <c r="C204" s="1211">
        <f t="shared" si="63"/>
        <v>0.1</v>
      </c>
      <c r="D204" s="1211">
        <f t="shared" si="58"/>
        <v>0.9</v>
      </c>
      <c r="E204" s="53">
        <v>0</v>
      </c>
      <c r="F204" s="53">
        <v>0</v>
      </c>
      <c r="G204" s="776">
        <f t="shared" si="51"/>
        <v>0.51501305740711523</v>
      </c>
      <c r="H204" s="519">
        <f t="shared" si="52"/>
        <v>23.175587583320183</v>
      </c>
      <c r="I204" s="53"/>
      <c r="J204" s="776">
        <f t="shared" si="53"/>
        <v>1.3905352549992107</v>
      </c>
      <c r="K204" s="1212">
        <f>'Recycling - Case 3'!Z158</f>
        <v>3244.988409938665</v>
      </c>
      <c r="L204" s="1211">
        <f t="shared" si="64"/>
        <v>0.1</v>
      </c>
      <c r="M204" s="1211">
        <f t="shared" si="59"/>
        <v>0.9</v>
      </c>
      <c r="N204" s="53">
        <f t="shared" si="65"/>
        <v>0</v>
      </c>
      <c r="O204" s="53">
        <f t="shared" si="65"/>
        <v>0</v>
      </c>
      <c r="P204" s="776">
        <f t="shared" si="54"/>
        <v>0.25959907279509326</v>
      </c>
      <c r="Q204" s="519">
        <f t="shared" si="55"/>
        <v>11.681958275779195</v>
      </c>
      <c r="R204" s="53"/>
      <c r="S204" s="1213">
        <f t="shared" si="56"/>
        <v>0.70091749654675162</v>
      </c>
      <c r="T204" s="1200">
        <f t="shared" si="57"/>
        <v>0.77461213020220843</v>
      </c>
      <c r="U204" s="1201">
        <f t="shared" si="57"/>
        <v>34.857545859099375</v>
      </c>
      <c r="V204" s="1201">
        <f t="shared" si="57"/>
        <v>0</v>
      </c>
      <c r="W204" s="1202">
        <f t="shared" si="57"/>
        <v>2.0914527515459622</v>
      </c>
    </row>
    <row r="205" spans="1:23">
      <c r="A205" s="123">
        <f>'Input data'!A139</f>
        <v>2039</v>
      </c>
      <c r="B205" s="1210">
        <f>'Recycling - Case 2'!AI119</f>
        <v>6437.663217588939</v>
      </c>
      <c r="C205" s="1211">
        <f t="shared" si="63"/>
        <v>0.1</v>
      </c>
      <c r="D205" s="1211">
        <f t="shared" si="58"/>
        <v>0.9</v>
      </c>
      <c r="E205" s="53">
        <v>0</v>
      </c>
      <c r="F205" s="53">
        <v>0</v>
      </c>
      <c r="G205" s="776">
        <f t="shared" si="51"/>
        <v>0.51501305740711523</v>
      </c>
      <c r="H205" s="519">
        <f t="shared" si="52"/>
        <v>23.175587583320183</v>
      </c>
      <c r="I205" s="53"/>
      <c r="J205" s="776">
        <f t="shared" si="53"/>
        <v>1.3905352549992107</v>
      </c>
      <c r="K205" s="1212">
        <f>'Recycling - Case 3'!Z159</f>
        <v>3320.2145828125908</v>
      </c>
      <c r="L205" s="1211">
        <f t="shared" si="64"/>
        <v>0.1</v>
      </c>
      <c r="M205" s="1211">
        <f t="shared" si="59"/>
        <v>0.9</v>
      </c>
      <c r="N205" s="53">
        <f t="shared" si="65"/>
        <v>0</v>
      </c>
      <c r="O205" s="53">
        <f t="shared" si="65"/>
        <v>0</v>
      </c>
      <c r="P205" s="776">
        <f t="shared" si="54"/>
        <v>0.26561716662500734</v>
      </c>
      <c r="Q205" s="519">
        <f t="shared" si="55"/>
        <v>11.952772498125327</v>
      </c>
      <c r="R205" s="53"/>
      <c r="S205" s="1213">
        <f t="shared" si="56"/>
        <v>0.71716634988751959</v>
      </c>
      <c r="T205" s="1200">
        <f t="shared" si="57"/>
        <v>0.78063022403212257</v>
      </c>
      <c r="U205" s="1201">
        <f t="shared" si="57"/>
        <v>35.128360081445507</v>
      </c>
      <c r="V205" s="1201">
        <f t="shared" si="57"/>
        <v>0</v>
      </c>
      <c r="W205" s="1202">
        <f t="shared" si="57"/>
        <v>2.1077016048867305</v>
      </c>
    </row>
    <row r="206" spans="1:23">
      <c r="A206" s="123">
        <f>'Input data'!A140</f>
        <v>2040</v>
      </c>
      <c r="B206" s="1210">
        <f>'Recycling - Case 2'!AI120</f>
        <v>6437.663217588939</v>
      </c>
      <c r="C206" s="1211">
        <f t="shared" si="63"/>
        <v>0.1</v>
      </c>
      <c r="D206" s="1211">
        <f t="shared" si="58"/>
        <v>0.9</v>
      </c>
      <c r="E206" s="53">
        <v>0</v>
      </c>
      <c r="F206" s="53">
        <v>0</v>
      </c>
      <c r="G206" s="776">
        <f t="shared" si="51"/>
        <v>0.51501305740711523</v>
      </c>
      <c r="H206" s="519">
        <f t="shared" si="52"/>
        <v>23.175587583320183</v>
      </c>
      <c r="I206" s="53"/>
      <c r="J206" s="776">
        <f t="shared" si="53"/>
        <v>1.3905352549992107</v>
      </c>
      <c r="K206" s="1212">
        <f>'Recycling - Case 3'!Z160</f>
        <v>3400.0466614335983</v>
      </c>
      <c r="L206" s="1211">
        <f t="shared" si="64"/>
        <v>0.1</v>
      </c>
      <c r="M206" s="1211">
        <f t="shared" si="59"/>
        <v>0.9</v>
      </c>
      <c r="N206" s="53">
        <f t="shared" si="65"/>
        <v>0</v>
      </c>
      <c r="O206" s="53">
        <f t="shared" si="65"/>
        <v>0</v>
      </c>
      <c r="P206" s="776">
        <f t="shared" si="54"/>
        <v>0.27200373291468793</v>
      </c>
      <c r="Q206" s="519">
        <f t="shared" si="55"/>
        <v>12.240167981160953</v>
      </c>
      <c r="R206" s="53"/>
      <c r="S206" s="1213">
        <f t="shared" si="56"/>
        <v>0.73441007886965726</v>
      </c>
      <c r="T206" s="1200">
        <f t="shared" si="57"/>
        <v>0.78701679032180316</v>
      </c>
      <c r="U206" s="1201">
        <f t="shared" si="57"/>
        <v>35.415755564481138</v>
      </c>
      <c r="V206" s="1201">
        <f t="shared" si="57"/>
        <v>0</v>
      </c>
      <c r="W206" s="1202">
        <f t="shared" si="57"/>
        <v>2.124945333868868</v>
      </c>
    </row>
    <row r="207" spans="1:23">
      <c r="A207" s="123">
        <f>'Input data'!A141</f>
        <v>2041</v>
      </c>
      <c r="B207" s="1210">
        <f>'Recycling - Case 2'!AI121</f>
        <v>6437.663217588939</v>
      </c>
      <c r="C207" s="1211">
        <f t="shared" si="63"/>
        <v>0.1</v>
      </c>
      <c r="D207" s="1211">
        <f t="shared" si="58"/>
        <v>0.9</v>
      </c>
      <c r="E207" s="53">
        <v>0</v>
      </c>
      <c r="F207" s="53">
        <v>0</v>
      </c>
      <c r="G207" s="776">
        <f t="shared" si="51"/>
        <v>0.51501305740711523</v>
      </c>
      <c r="H207" s="519">
        <f t="shared" si="52"/>
        <v>23.175587583320183</v>
      </c>
      <c r="I207" s="53"/>
      <c r="J207" s="776">
        <f t="shared" si="53"/>
        <v>1.3905352549992107</v>
      </c>
      <c r="K207" s="1212">
        <f>'Recycling - Case 3'!Z161</f>
        <v>3483.1647930935037</v>
      </c>
      <c r="L207" s="1211">
        <f t="shared" si="64"/>
        <v>0.1</v>
      </c>
      <c r="M207" s="1211">
        <f t="shared" si="59"/>
        <v>0.9</v>
      </c>
      <c r="N207" s="53">
        <f t="shared" si="65"/>
        <v>0</v>
      </c>
      <c r="O207" s="53">
        <f t="shared" si="65"/>
        <v>0</v>
      </c>
      <c r="P207" s="776">
        <f t="shared" si="54"/>
        <v>0.27865318344748036</v>
      </c>
      <c r="Q207" s="519">
        <f t="shared" si="55"/>
        <v>12.539393255136615</v>
      </c>
      <c r="R207" s="53"/>
      <c r="S207" s="1213">
        <f t="shared" si="56"/>
        <v>0.75236359530819674</v>
      </c>
      <c r="T207" s="1200">
        <f t="shared" si="57"/>
        <v>0.79366624085459558</v>
      </c>
      <c r="U207" s="1201">
        <f t="shared" si="57"/>
        <v>35.714980838456796</v>
      </c>
      <c r="V207" s="1201">
        <f t="shared" si="57"/>
        <v>0</v>
      </c>
      <c r="W207" s="1202">
        <f t="shared" si="57"/>
        <v>2.1428988503074073</v>
      </c>
    </row>
    <row r="208" spans="1:23">
      <c r="A208" s="123">
        <f>'Input data'!A142</f>
        <v>2042</v>
      </c>
      <c r="B208" s="1210">
        <f>'Recycling - Case 2'!AI122</f>
        <v>6437.663217588939</v>
      </c>
      <c r="C208" s="1211">
        <f t="shared" si="63"/>
        <v>0.1</v>
      </c>
      <c r="D208" s="1211">
        <f t="shared" si="58"/>
        <v>0.9</v>
      </c>
      <c r="E208" s="53">
        <v>0</v>
      </c>
      <c r="F208" s="53">
        <v>0</v>
      </c>
      <c r="G208" s="776">
        <f t="shared" si="51"/>
        <v>0.51501305740711523</v>
      </c>
      <c r="H208" s="519">
        <f t="shared" si="52"/>
        <v>23.175587583320183</v>
      </c>
      <c r="I208" s="53"/>
      <c r="J208" s="776">
        <f t="shared" si="53"/>
        <v>1.3905352549992107</v>
      </c>
      <c r="K208" s="1212">
        <f>'Recycling - Case 3'!Z162</f>
        <v>3569.829689438367</v>
      </c>
      <c r="L208" s="1211">
        <f t="shared" si="64"/>
        <v>0.1</v>
      </c>
      <c r="M208" s="1211">
        <f t="shared" si="59"/>
        <v>0.9</v>
      </c>
      <c r="N208" s="53">
        <f t="shared" si="65"/>
        <v>0</v>
      </c>
      <c r="O208" s="53">
        <f t="shared" si="65"/>
        <v>0</v>
      </c>
      <c r="P208" s="776">
        <f t="shared" si="54"/>
        <v>0.28558637515506941</v>
      </c>
      <c r="Q208" s="519">
        <f t="shared" si="55"/>
        <v>12.851386881978122</v>
      </c>
      <c r="R208" s="53"/>
      <c r="S208" s="1213">
        <f t="shared" si="56"/>
        <v>0.77108321291868731</v>
      </c>
      <c r="T208" s="1200">
        <f t="shared" si="57"/>
        <v>0.80059943256218458</v>
      </c>
      <c r="U208" s="1201">
        <f t="shared" si="57"/>
        <v>36.026974465298309</v>
      </c>
      <c r="V208" s="1201">
        <f t="shared" si="57"/>
        <v>0</v>
      </c>
      <c r="W208" s="1202">
        <f t="shared" si="57"/>
        <v>2.161618467917898</v>
      </c>
    </row>
    <row r="209" spans="1:23">
      <c r="A209" s="123">
        <f>'Input data'!A143</f>
        <v>2043</v>
      </c>
      <c r="B209" s="1210">
        <f>'Recycling - Case 2'!AI123</f>
        <v>6437.663217588939</v>
      </c>
      <c r="C209" s="1211">
        <f t="shared" si="63"/>
        <v>0.1</v>
      </c>
      <c r="D209" s="1211">
        <f t="shared" si="58"/>
        <v>0.9</v>
      </c>
      <c r="E209" s="53">
        <v>0</v>
      </c>
      <c r="F209" s="53">
        <v>0</v>
      </c>
      <c r="G209" s="776">
        <f t="shared" si="51"/>
        <v>0.51501305740711523</v>
      </c>
      <c r="H209" s="519">
        <f t="shared" si="52"/>
        <v>23.175587583320183</v>
      </c>
      <c r="I209" s="53"/>
      <c r="J209" s="776">
        <f t="shared" si="53"/>
        <v>1.3905352549992107</v>
      </c>
      <c r="K209" s="1212">
        <f>'Recycling - Case 3'!Z163</f>
        <v>3659.8240907631371</v>
      </c>
      <c r="L209" s="1211">
        <f t="shared" si="64"/>
        <v>0.1</v>
      </c>
      <c r="M209" s="1211">
        <f t="shared" si="59"/>
        <v>0.9</v>
      </c>
      <c r="N209" s="53">
        <f t="shared" si="65"/>
        <v>0</v>
      </c>
      <c r="O209" s="53">
        <f t="shared" si="65"/>
        <v>0</v>
      </c>
      <c r="P209" s="776">
        <f t="shared" si="54"/>
        <v>0.29278592726105102</v>
      </c>
      <c r="Q209" s="519">
        <f t="shared" si="55"/>
        <v>13.175366726747294</v>
      </c>
      <c r="R209" s="53"/>
      <c r="S209" s="1213">
        <f t="shared" si="56"/>
        <v>0.7905220036048376</v>
      </c>
      <c r="T209" s="1200">
        <f t="shared" si="57"/>
        <v>0.80779898466816624</v>
      </c>
      <c r="U209" s="1201">
        <f t="shared" si="57"/>
        <v>36.350954310067479</v>
      </c>
      <c r="V209" s="1201">
        <f t="shared" si="57"/>
        <v>0</v>
      </c>
      <c r="W209" s="1202">
        <f t="shared" si="57"/>
        <v>2.1810572586040484</v>
      </c>
    </row>
    <row r="210" spans="1:23">
      <c r="A210" s="123">
        <f>'Input data'!A144</f>
        <v>2044</v>
      </c>
      <c r="B210" s="1210">
        <f>'Recycling - Case 2'!AI124</f>
        <v>6437.663217588939</v>
      </c>
      <c r="C210" s="1211">
        <f t="shared" si="63"/>
        <v>0.1</v>
      </c>
      <c r="D210" s="1211">
        <f t="shared" si="58"/>
        <v>0.9</v>
      </c>
      <c r="E210" s="53">
        <v>0</v>
      </c>
      <c r="F210" s="53">
        <v>0</v>
      </c>
      <c r="G210" s="776">
        <f t="shared" si="51"/>
        <v>0.51501305740711523</v>
      </c>
      <c r="H210" s="519">
        <f t="shared" si="52"/>
        <v>23.175587583320183</v>
      </c>
      <c r="I210" s="53"/>
      <c r="J210" s="776">
        <f t="shared" si="53"/>
        <v>1.3905352549992107</v>
      </c>
      <c r="K210" s="1212">
        <f>'Recycling - Case 3'!Z164</f>
        <v>3753.6313999115555</v>
      </c>
      <c r="L210" s="1211">
        <f t="shared" si="64"/>
        <v>0.1</v>
      </c>
      <c r="M210" s="1211">
        <f t="shared" si="59"/>
        <v>0.9</v>
      </c>
      <c r="N210" s="53">
        <f t="shared" si="65"/>
        <v>0</v>
      </c>
      <c r="O210" s="53">
        <f t="shared" si="65"/>
        <v>0</v>
      </c>
      <c r="P210" s="776">
        <f t="shared" si="54"/>
        <v>0.3002905119929245</v>
      </c>
      <c r="Q210" s="519">
        <f t="shared" si="55"/>
        <v>13.513073039681601</v>
      </c>
      <c r="R210" s="53"/>
      <c r="S210" s="1213">
        <f t="shared" si="56"/>
        <v>0.81078438238089601</v>
      </c>
      <c r="T210" s="1200">
        <f t="shared" si="57"/>
        <v>0.81530356940003967</v>
      </c>
      <c r="U210" s="1201">
        <f t="shared" si="57"/>
        <v>36.68866062300178</v>
      </c>
      <c r="V210" s="1201">
        <f t="shared" si="57"/>
        <v>0</v>
      </c>
      <c r="W210" s="1202">
        <f t="shared" si="57"/>
        <v>2.2013196373801067</v>
      </c>
    </row>
    <row r="211" spans="1:23">
      <c r="A211" s="123">
        <f>'Input data'!A145</f>
        <v>2045</v>
      </c>
      <c r="B211" s="1210">
        <f>'Recycling - Case 2'!AI125</f>
        <v>6437.663217588939</v>
      </c>
      <c r="C211" s="1211">
        <f t="shared" si="63"/>
        <v>0.1</v>
      </c>
      <c r="D211" s="1211">
        <f t="shared" si="58"/>
        <v>0.9</v>
      </c>
      <c r="E211" s="53">
        <v>0</v>
      </c>
      <c r="F211" s="53">
        <v>0</v>
      </c>
      <c r="G211" s="776">
        <f t="shared" si="51"/>
        <v>0.51501305740711523</v>
      </c>
      <c r="H211" s="519">
        <f t="shared" si="52"/>
        <v>23.175587583320183</v>
      </c>
      <c r="I211" s="53"/>
      <c r="J211" s="776">
        <f t="shared" si="53"/>
        <v>1.3905352549992107</v>
      </c>
      <c r="K211" s="1212">
        <f>'Recycling - Case 3'!Z165</f>
        <v>3853.2612691553395</v>
      </c>
      <c r="L211" s="1211">
        <f t="shared" si="64"/>
        <v>0.1</v>
      </c>
      <c r="M211" s="1211">
        <f t="shared" si="59"/>
        <v>0.9</v>
      </c>
      <c r="N211" s="53">
        <f t="shared" si="65"/>
        <v>0</v>
      </c>
      <c r="O211" s="53">
        <f t="shared" si="65"/>
        <v>0</v>
      </c>
      <c r="P211" s="776">
        <f t="shared" si="54"/>
        <v>0.30826090153242725</v>
      </c>
      <c r="Q211" s="519">
        <f t="shared" si="55"/>
        <v>13.871740568959224</v>
      </c>
      <c r="R211" s="53"/>
      <c r="S211" s="1213">
        <f t="shared" si="56"/>
        <v>0.83230443413755339</v>
      </c>
      <c r="T211" s="1200">
        <f t="shared" si="57"/>
        <v>0.82327395893954247</v>
      </c>
      <c r="U211" s="1201">
        <f t="shared" si="57"/>
        <v>37.047328152279405</v>
      </c>
      <c r="V211" s="1201">
        <f t="shared" si="57"/>
        <v>0</v>
      </c>
      <c r="W211" s="1202">
        <f t="shared" si="57"/>
        <v>2.2228396891367641</v>
      </c>
    </row>
    <row r="212" spans="1:23">
      <c r="A212" s="123">
        <f>'Input data'!A146</f>
        <v>2046</v>
      </c>
      <c r="B212" s="1210">
        <f>'Recycling - Case 2'!AI126</f>
        <v>6437.663217588939</v>
      </c>
      <c r="C212" s="1211">
        <f t="shared" si="63"/>
        <v>0.1</v>
      </c>
      <c r="D212" s="1211">
        <f t="shared" si="58"/>
        <v>0.9</v>
      </c>
      <c r="E212" s="53">
        <v>0</v>
      </c>
      <c r="F212" s="53">
        <v>0</v>
      </c>
      <c r="G212" s="776">
        <f t="shared" si="51"/>
        <v>0.51501305740711523</v>
      </c>
      <c r="H212" s="519">
        <f t="shared" si="52"/>
        <v>23.175587583320183</v>
      </c>
      <c r="I212" s="53"/>
      <c r="J212" s="776">
        <f t="shared" si="53"/>
        <v>1.3905352549992107</v>
      </c>
      <c r="K212" s="1212">
        <f>'Recycling - Case 3'!Z166</f>
        <v>3957.8175022111564</v>
      </c>
      <c r="L212" s="1211">
        <f t="shared" si="64"/>
        <v>0.1</v>
      </c>
      <c r="M212" s="1211">
        <f t="shared" si="59"/>
        <v>0.9</v>
      </c>
      <c r="N212" s="53">
        <f t="shared" si="65"/>
        <v>0</v>
      </c>
      <c r="O212" s="53">
        <f t="shared" si="65"/>
        <v>0</v>
      </c>
      <c r="P212" s="776">
        <f t="shared" si="54"/>
        <v>0.31662540017689256</v>
      </c>
      <c r="Q212" s="519">
        <f t="shared" si="55"/>
        <v>14.248143007960163</v>
      </c>
      <c r="R212" s="53"/>
      <c r="S212" s="1213">
        <f t="shared" si="56"/>
        <v>0.85488858047760974</v>
      </c>
      <c r="T212" s="1200">
        <f t="shared" si="57"/>
        <v>0.83163845758400778</v>
      </c>
      <c r="U212" s="1201">
        <f t="shared" si="57"/>
        <v>37.423730591280346</v>
      </c>
      <c r="V212" s="1201">
        <f t="shared" si="57"/>
        <v>0</v>
      </c>
      <c r="W212" s="1202">
        <f t="shared" si="57"/>
        <v>2.2454238354768203</v>
      </c>
    </row>
    <row r="213" spans="1:23">
      <c r="A213" s="123">
        <f>'Input data'!A147</f>
        <v>2047</v>
      </c>
      <c r="B213" s="1210">
        <f>'Recycling - Case 2'!AI127</f>
        <v>6437.663217588939</v>
      </c>
      <c r="C213" s="1211">
        <f t="shared" si="63"/>
        <v>0.1</v>
      </c>
      <c r="D213" s="1211">
        <f t="shared" si="58"/>
        <v>0.9</v>
      </c>
      <c r="E213" s="53">
        <v>0</v>
      </c>
      <c r="F213" s="53">
        <v>0</v>
      </c>
      <c r="G213" s="776">
        <f t="shared" si="51"/>
        <v>0.51501305740711523</v>
      </c>
      <c r="H213" s="519">
        <f t="shared" si="52"/>
        <v>23.175587583320183</v>
      </c>
      <c r="I213" s="53"/>
      <c r="J213" s="776">
        <f t="shared" si="53"/>
        <v>1.3905352549992107</v>
      </c>
      <c r="K213" s="1212">
        <f>'Recycling - Case 3'!Z167</f>
        <v>4067.3652769905207</v>
      </c>
      <c r="L213" s="1211">
        <f t="shared" si="64"/>
        <v>0.1</v>
      </c>
      <c r="M213" s="1211">
        <f t="shared" si="59"/>
        <v>0.9</v>
      </c>
      <c r="N213" s="53">
        <f t="shared" si="65"/>
        <v>0</v>
      </c>
      <c r="O213" s="53">
        <f t="shared" si="65"/>
        <v>0</v>
      </c>
      <c r="P213" s="776">
        <f t="shared" si="54"/>
        <v>0.32538922215924176</v>
      </c>
      <c r="Q213" s="519">
        <f t="shared" si="55"/>
        <v>14.642514997165874</v>
      </c>
      <c r="R213" s="53"/>
      <c r="S213" s="1213">
        <f t="shared" si="56"/>
        <v>0.87855089982995238</v>
      </c>
      <c r="T213" s="1200">
        <f t="shared" si="57"/>
        <v>0.84040227956635705</v>
      </c>
      <c r="U213" s="1201">
        <f t="shared" si="57"/>
        <v>37.818102580486055</v>
      </c>
      <c r="V213" s="1201">
        <f t="shared" si="57"/>
        <v>0</v>
      </c>
      <c r="W213" s="1202">
        <f t="shared" si="57"/>
        <v>2.269086154829163</v>
      </c>
    </row>
    <row r="214" spans="1:23">
      <c r="A214" s="123">
        <f>'Input data'!A148</f>
        <v>2048</v>
      </c>
      <c r="B214" s="1210">
        <f>'Recycling - Case 2'!AI128</f>
        <v>6437.663217588939</v>
      </c>
      <c r="C214" s="1211">
        <f t="shared" si="63"/>
        <v>0.1</v>
      </c>
      <c r="D214" s="1211">
        <f t="shared" si="58"/>
        <v>0.9</v>
      </c>
      <c r="E214" s="53">
        <v>0</v>
      </c>
      <c r="F214" s="53">
        <v>0</v>
      </c>
      <c r="G214" s="776">
        <f t="shared" si="51"/>
        <v>0.51501305740711523</v>
      </c>
      <c r="H214" s="519">
        <f t="shared" si="52"/>
        <v>23.175587583320183</v>
      </c>
      <c r="I214" s="53"/>
      <c r="J214" s="776">
        <f t="shared" si="53"/>
        <v>1.3905352549992107</v>
      </c>
      <c r="K214" s="1212">
        <f>'Recycling - Case 3'!Z168</f>
        <v>4178.1731580591822</v>
      </c>
      <c r="L214" s="1211">
        <f t="shared" si="64"/>
        <v>0.1</v>
      </c>
      <c r="M214" s="1211">
        <f t="shared" si="59"/>
        <v>0.9</v>
      </c>
      <c r="N214" s="53">
        <f t="shared" si="65"/>
        <v>0</v>
      </c>
      <c r="O214" s="53">
        <f t="shared" si="65"/>
        <v>0</v>
      </c>
      <c r="P214" s="776">
        <f t="shared" si="54"/>
        <v>0.33425385264473467</v>
      </c>
      <c r="Q214" s="519">
        <f t="shared" si="55"/>
        <v>15.041423369013057</v>
      </c>
      <c r="R214" s="53"/>
      <c r="S214" s="1213">
        <f t="shared" si="56"/>
        <v>0.90248540214078332</v>
      </c>
      <c r="T214" s="1200">
        <f t="shared" si="57"/>
        <v>0.84926691005184995</v>
      </c>
      <c r="U214" s="1201">
        <f t="shared" si="57"/>
        <v>38.21701095233324</v>
      </c>
      <c r="V214" s="1201">
        <f t="shared" si="57"/>
        <v>0</v>
      </c>
      <c r="W214" s="1202">
        <f t="shared" si="57"/>
        <v>2.2930206571399943</v>
      </c>
    </row>
    <row r="215" spans="1:23">
      <c r="A215" s="123">
        <f>'Input data'!A149</f>
        <v>2049</v>
      </c>
      <c r="B215" s="1210">
        <f>'Recycling - Case 2'!AI129</f>
        <v>6437.663217588939</v>
      </c>
      <c r="C215" s="1211">
        <f t="shared" si="63"/>
        <v>0.1</v>
      </c>
      <c r="D215" s="1211">
        <f t="shared" si="58"/>
        <v>0.9</v>
      </c>
      <c r="E215" s="53">
        <v>0</v>
      </c>
      <c r="F215" s="53">
        <v>0</v>
      </c>
      <c r="G215" s="776">
        <f t="shared" si="51"/>
        <v>0.51501305740711523</v>
      </c>
      <c r="H215" s="519">
        <f t="shared" si="52"/>
        <v>23.175587583320183</v>
      </c>
      <c r="I215" s="53"/>
      <c r="J215" s="776">
        <f t="shared" si="53"/>
        <v>1.3905352549992107</v>
      </c>
      <c r="K215" s="1212">
        <f>'Recycling - Case 3'!Z169</f>
        <v>4294.4451207098782</v>
      </c>
      <c r="L215" s="1211">
        <f t="shared" si="64"/>
        <v>0.1</v>
      </c>
      <c r="M215" s="1211">
        <f t="shared" si="59"/>
        <v>0.9</v>
      </c>
      <c r="N215" s="53">
        <f t="shared" si="65"/>
        <v>0</v>
      </c>
      <c r="O215" s="53">
        <f t="shared" si="65"/>
        <v>0</v>
      </c>
      <c r="P215" s="776">
        <f t="shared" si="54"/>
        <v>0.34355560965679027</v>
      </c>
      <c r="Q215" s="519">
        <f t="shared" si="55"/>
        <v>15.460002434555561</v>
      </c>
      <c r="R215" s="53"/>
      <c r="S215" s="1213">
        <f t="shared" si="56"/>
        <v>0.92760014607333374</v>
      </c>
      <c r="T215" s="1200">
        <f t="shared" si="57"/>
        <v>0.85856866706390544</v>
      </c>
      <c r="U215" s="1201">
        <f t="shared" si="57"/>
        <v>38.635590017875742</v>
      </c>
      <c r="V215" s="1201">
        <f t="shared" si="57"/>
        <v>0</v>
      </c>
      <c r="W215" s="1202">
        <f t="shared" si="57"/>
        <v>2.3181354010725443</v>
      </c>
    </row>
    <row r="216" spans="1:23" ht="15" thickBot="1">
      <c r="A216" s="123">
        <f>'Input data'!A150</f>
        <v>2050</v>
      </c>
      <c r="B216" s="1210">
        <f>'Recycling - Case 2'!AI130</f>
        <v>6437.663217588939</v>
      </c>
      <c r="C216" s="578">
        <f t="shared" si="63"/>
        <v>0.1</v>
      </c>
      <c r="D216" s="578">
        <f t="shared" si="58"/>
        <v>0.9</v>
      </c>
      <c r="E216" s="1214">
        <v>0</v>
      </c>
      <c r="F216" s="1214">
        <v>0</v>
      </c>
      <c r="G216" s="1215">
        <f t="shared" si="51"/>
        <v>0.51501305740711523</v>
      </c>
      <c r="H216" s="1146">
        <f t="shared" si="52"/>
        <v>23.175587583320183</v>
      </c>
      <c r="I216" s="1214"/>
      <c r="J216" s="1215">
        <f t="shared" si="53"/>
        <v>1.3905352549992107</v>
      </c>
      <c r="K216" s="1212">
        <f>'Recycling - Case 3'!Z170</f>
        <v>4416.6156843527096</v>
      </c>
      <c r="L216" s="578">
        <f t="shared" si="64"/>
        <v>0.1</v>
      </c>
      <c r="M216" s="578">
        <f t="shared" si="59"/>
        <v>0.9</v>
      </c>
      <c r="N216" s="1214">
        <f t="shared" si="65"/>
        <v>0</v>
      </c>
      <c r="O216" s="1214">
        <f t="shared" si="65"/>
        <v>0</v>
      </c>
      <c r="P216" s="1215">
        <f t="shared" si="54"/>
        <v>0.35332925474821686</v>
      </c>
      <c r="Q216" s="1146">
        <f t="shared" si="55"/>
        <v>15.899816463669755</v>
      </c>
      <c r="R216" s="1214"/>
      <c r="S216" s="1216">
        <f t="shared" si="56"/>
        <v>0.95398898782018526</v>
      </c>
      <c r="T216" s="1217">
        <f t="shared" si="57"/>
        <v>0.86834231215533209</v>
      </c>
      <c r="U216" s="1218">
        <f t="shared" si="57"/>
        <v>39.075404046989938</v>
      </c>
      <c r="V216" s="1218">
        <f t="shared" si="57"/>
        <v>0</v>
      </c>
      <c r="W216" s="1219">
        <f t="shared" si="57"/>
        <v>2.344524242819396</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3707.5237846120858</v>
      </c>
      <c r="C218" s="1211">
        <f>($C$222-$C$80)/($A$222-$A$80)+C80</f>
        <v>0.14000000000000001</v>
      </c>
      <c r="D218" s="1211">
        <f>1-C218</f>
        <v>0.86</v>
      </c>
      <c r="E218" s="53">
        <v>0</v>
      </c>
      <c r="F218" s="53">
        <v>0</v>
      </c>
      <c r="G218" s="776">
        <f>C218*$D$5*B218/1000-E218</f>
        <v>0.41524266387655367</v>
      </c>
      <c r="H218" s="519">
        <f>D218*$D$4*B218/1000-F218</f>
        <v>12.753881819065574</v>
      </c>
      <c r="I218" s="53"/>
      <c r="J218" s="776">
        <f>D218*$D$7*B218/1000</f>
        <v>0.76523290914393449</v>
      </c>
      <c r="K218" s="1212">
        <f>'Recycling - Case 3'!Z138</f>
        <v>1787.3285316252955</v>
      </c>
      <c r="L218" s="1211">
        <f>($L$222-$L$80)/($A$222-$A$80)+L80</f>
        <v>0.18</v>
      </c>
      <c r="M218" s="1211">
        <f>($M$222-$M$80)/($A$222-$A$80)+M80</f>
        <v>0.82000000000000006</v>
      </c>
      <c r="N218" s="53">
        <f t="shared" ref="N218:O233" si="66">N80</f>
        <v>0</v>
      </c>
      <c r="O218" s="53">
        <f t="shared" si="66"/>
        <v>0</v>
      </c>
      <c r="P218" s="776">
        <f t="shared" ref="P218:P250" si="67">L218*$D$5*K218/1000-N218</f>
        <v>0.25737530855404256</v>
      </c>
      <c r="Q218" s="519">
        <f t="shared" ref="Q218:Q250" si="68">M218*$D$4*K218/1000-O218</f>
        <v>5.8624375837309701</v>
      </c>
      <c r="R218" s="53"/>
      <c r="S218" s="1213">
        <f t="shared" ref="S218:S250" si="69">M218*$D$7*K218/1000</f>
        <v>0.35174625502385815</v>
      </c>
      <c r="T218" s="1200">
        <f t="shared" ref="T218:W250" si="70">G218+P218</f>
        <v>0.67261797243059629</v>
      </c>
      <c r="U218" s="1201">
        <f t="shared" si="70"/>
        <v>18.616319402796545</v>
      </c>
      <c r="V218" s="1201">
        <f t="shared" si="70"/>
        <v>0</v>
      </c>
      <c r="W218" s="1202">
        <f t="shared" si="70"/>
        <v>1.1169791641677926</v>
      </c>
    </row>
    <row r="219" spans="1:23">
      <c r="A219" s="123">
        <f>'Input data'!A119</f>
        <v>2019</v>
      </c>
      <c r="B219" s="1210">
        <f>'Recycling - Case 3'!AI99</f>
        <v>4010.8726104984025</v>
      </c>
      <c r="C219" s="1211">
        <f>($C$222-$C$80)/($A$222-$A$80)+C218</f>
        <v>0.23</v>
      </c>
      <c r="D219" s="1211">
        <f t="shared" ref="D219:D221" si="71">1-C219</f>
        <v>0.77</v>
      </c>
      <c r="E219" s="53">
        <v>0</v>
      </c>
      <c r="F219" s="53">
        <v>0</v>
      </c>
      <c r="G219" s="776">
        <f t="shared" ref="G219:G250" si="72">C219*$D$5*B219/1000-E219</f>
        <v>0.73800056033170625</v>
      </c>
      <c r="H219" s="519">
        <f t="shared" ref="H219:H250" si="73">D219*$D$4*B219/1000-F219</f>
        <v>12.35348764033508</v>
      </c>
      <c r="I219" s="53"/>
      <c r="J219" s="776">
        <f t="shared" ref="J219:J250" si="74">D219*$D$7*B219/1000</f>
        <v>0.74120925842010477</v>
      </c>
      <c r="K219" s="1212">
        <f>'Recycling - Case 3'!Z139</f>
        <v>1877.2124191793723</v>
      </c>
      <c r="L219" s="1211">
        <f>($L$222-$L$80)/($A$222-$A$80)+L218</f>
        <v>0.26</v>
      </c>
      <c r="M219" s="1211">
        <f>($M$222-$M$80)/($A$222-$A$80)+M218</f>
        <v>0.7400000000000001</v>
      </c>
      <c r="N219" s="53">
        <f t="shared" si="66"/>
        <v>0</v>
      </c>
      <c r="O219" s="53">
        <f t="shared" si="66"/>
        <v>0</v>
      </c>
      <c r="P219" s="776">
        <f t="shared" si="67"/>
        <v>0.39046018318930947</v>
      </c>
      <c r="Q219" s="519">
        <f t="shared" si="68"/>
        <v>5.5565487607709425</v>
      </c>
      <c r="R219" s="53"/>
      <c r="S219" s="1213">
        <f t="shared" si="69"/>
        <v>0.3333929256462565</v>
      </c>
      <c r="T219" s="1200">
        <f t="shared" si="70"/>
        <v>1.1284607435210157</v>
      </c>
      <c r="U219" s="1201">
        <f t="shared" si="70"/>
        <v>17.910036401106023</v>
      </c>
      <c r="V219" s="1201">
        <f t="shared" si="70"/>
        <v>0</v>
      </c>
      <c r="W219" s="1202">
        <f t="shared" si="70"/>
        <v>1.0746021840663613</v>
      </c>
    </row>
    <row r="220" spans="1:23">
      <c r="A220" s="123">
        <f>'Input data'!A120</f>
        <v>2020</v>
      </c>
      <c r="B220" s="1210">
        <f>'Recycling - Case 3'!AI100</f>
        <v>4617.5702622710369</v>
      </c>
      <c r="C220" s="1211">
        <f>($C$222-$C$80)/($A$222-$A$80)+C219</f>
        <v>0.32</v>
      </c>
      <c r="D220" s="1211">
        <f t="shared" si="71"/>
        <v>0.67999999999999994</v>
      </c>
      <c r="E220" s="53">
        <v>0</v>
      </c>
      <c r="F220" s="53">
        <v>0</v>
      </c>
      <c r="G220" s="776">
        <f t="shared" si="72"/>
        <v>1.1820979871413855</v>
      </c>
      <c r="H220" s="519">
        <f t="shared" si="73"/>
        <v>12.559791113377219</v>
      </c>
      <c r="I220" s="53"/>
      <c r="J220" s="776">
        <f t="shared" si="74"/>
        <v>0.75358746680263311</v>
      </c>
      <c r="K220" s="1212">
        <f>'Recycling - Case 3'!Z140</f>
        <v>1902.4705235478471</v>
      </c>
      <c r="L220" s="1211">
        <f>($L$222-$L$80)/($A$222-$A$80)+L219</f>
        <v>0.34</v>
      </c>
      <c r="M220" s="1211">
        <f>($M$222-$M$80)/($A$222-$A$80)+M219</f>
        <v>0.66000000000000014</v>
      </c>
      <c r="N220" s="53">
        <f t="shared" si="66"/>
        <v>0</v>
      </c>
      <c r="O220" s="53">
        <f t="shared" si="66"/>
        <v>0</v>
      </c>
      <c r="P220" s="776">
        <f t="shared" si="67"/>
        <v>0.51747198240501435</v>
      </c>
      <c r="Q220" s="519">
        <f t="shared" si="68"/>
        <v>5.0225221821663171</v>
      </c>
      <c r="R220" s="53"/>
      <c r="S220" s="1213">
        <f t="shared" si="69"/>
        <v>0.30135133092997907</v>
      </c>
      <c r="T220" s="1200">
        <f t="shared" si="70"/>
        <v>1.6995699695463999</v>
      </c>
      <c r="U220" s="1201">
        <f t="shared" si="70"/>
        <v>17.582313295543536</v>
      </c>
      <c r="V220" s="1201">
        <f t="shared" si="70"/>
        <v>0</v>
      </c>
      <c r="W220" s="1202">
        <f t="shared" si="70"/>
        <v>1.0549387977326121</v>
      </c>
    </row>
    <row r="221" spans="1:23">
      <c r="A221" s="123">
        <f>'Input data'!A121</f>
        <v>2021</v>
      </c>
      <c r="B221" s="1210">
        <f>'Recycling - Case 3'!AI101</f>
        <v>5830.9655658163047</v>
      </c>
      <c r="C221" s="1211">
        <f>($C$222-$C$80)/($A$222-$A$80)+C220</f>
        <v>0.41000000000000003</v>
      </c>
      <c r="D221" s="1211">
        <f t="shared" si="71"/>
        <v>0.59</v>
      </c>
      <c r="E221" s="53">
        <v>0</v>
      </c>
      <c r="F221" s="53">
        <v>0</v>
      </c>
      <c r="G221" s="776">
        <f t="shared" si="72"/>
        <v>1.9125567055877484</v>
      </c>
      <c r="H221" s="519">
        <f t="shared" si="73"/>
        <v>13.761078735326478</v>
      </c>
      <c r="I221" s="53"/>
      <c r="J221" s="776">
        <f t="shared" si="74"/>
        <v>0.82566472411958869</v>
      </c>
      <c r="K221" s="1212">
        <f>'Recycling - Case 3'!Z141</f>
        <v>2238.7918742794518</v>
      </c>
      <c r="L221" s="1211">
        <f>($L$222-$L$80)/($A$222-$A$80)+L220</f>
        <v>0.42000000000000004</v>
      </c>
      <c r="M221" s="1211">
        <f>($M$222-$M$80)/($A$222-$A$80)+M220</f>
        <v>0.58000000000000018</v>
      </c>
      <c r="N221" s="53">
        <f t="shared" si="66"/>
        <v>0</v>
      </c>
      <c r="O221" s="53">
        <f t="shared" si="66"/>
        <v>0</v>
      </c>
      <c r="P221" s="776">
        <f t="shared" si="67"/>
        <v>0.75223406975789597</v>
      </c>
      <c r="Q221" s="519">
        <f t="shared" si="68"/>
        <v>5.1939971483283296</v>
      </c>
      <c r="R221" s="53"/>
      <c r="S221" s="1213">
        <f t="shared" si="69"/>
        <v>0.31163982889969982</v>
      </c>
      <c r="T221" s="1200">
        <f t="shared" si="70"/>
        <v>2.6647907753456446</v>
      </c>
      <c r="U221" s="1201">
        <f t="shared" si="70"/>
        <v>18.955075883654807</v>
      </c>
      <c r="V221" s="1201">
        <f t="shared" si="70"/>
        <v>0</v>
      </c>
      <c r="W221" s="1202">
        <f t="shared" si="70"/>
        <v>1.1373045530192885</v>
      </c>
    </row>
    <row r="222" spans="1:23">
      <c r="A222" s="123">
        <f>'Input data'!A122</f>
        <v>2022</v>
      </c>
      <c r="B222" s="1210">
        <f>'Recycling - Case 3'!AI102</f>
        <v>6437.663217588939</v>
      </c>
      <c r="C222" s="1211">
        <f>'Recycling - Case 3'!G31</f>
        <v>0.5</v>
      </c>
      <c r="D222" s="1211">
        <f>'Recycling - Case 3'!H31</f>
        <v>0.5</v>
      </c>
      <c r="E222" s="53">
        <v>0</v>
      </c>
      <c r="F222" s="53">
        <v>0</v>
      </c>
      <c r="G222" s="776">
        <f t="shared" si="72"/>
        <v>2.5750652870355757</v>
      </c>
      <c r="H222" s="519">
        <f t="shared" si="73"/>
        <v>12.875326435177879</v>
      </c>
      <c r="I222" s="53"/>
      <c r="J222" s="776">
        <f t="shared" si="74"/>
        <v>0.77251958611067262</v>
      </c>
      <c r="K222" s="1212">
        <f>'Recycling - Case 3'!Z142</f>
        <v>2423.2959109577191</v>
      </c>
      <c r="L222" s="1211">
        <f>'Recycling - Case 3'!G31</f>
        <v>0.5</v>
      </c>
      <c r="M222" s="1211">
        <f>'Recycling - Case 3'!H31</f>
        <v>0.5</v>
      </c>
      <c r="N222" s="53">
        <f t="shared" si="66"/>
        <v>0</v>
      </c>
      <c r="O222" s="53">
        <f t="shared" si="66"/>
        <v>0</v>
      </c>
      <c r="P222" s="776">
        <f t="shared" si="67"/>
        <v>0.96931836438308772</v>
      </c>
      <c r="Q222" s="519">
        <f t="shared" si="68"/>
        <v>4.846591821915438</v>
      </c>
      <c r="R222" s="53"/>
      <c r="S222" s="1213">
        <f t="shared" si="69"/>
        <v>0.29079550931492626</v>
      </c>
      <c r="T222" s="1200">
        <f t="shared" si="70"/>
        <v>3.5443836514186633</v>
      </c>
      <c r="U222" s="1201">
        <f t="shared" si="70"/>
        <v>17.721918257093318</v>
      </c>
      <c r="V222" s="1201">
        <f t="shared" si="70"/>
        <v>0</v>
      </c>
      <c r="W222" s="1202">
        <f t="shared" si="70"/>
        <v>1.0633150954255988</v>
      </c>
    </row>
    <row r="223" spans="1:23">
      <c r="A223" s="123">
        <f>'Input data'!A123</f>
        <v>2023</v>
      </c>
      <c r="B223" s="1210">
        <f>'Recycling - Case 3'!AI103</f>
        <v>6437.663217588939</v>
      </c>
      <c r="C223" s="1211">
        <f>C222</f>
        <v>0.5</v>
      </c>
      <c r="D223" s="1211">
        <f>D222</f>
        <v>0.5</v>
      </c>
      <c r="E223" s="53">
        <v>0</v>
      </c>
      <c r="F223" s="53">
        <v>0</v>
      </c>
      <c r="G223" s="776">
        <f t="shared" si="72"/>
        <v>2.5750652870355757</v>
      </c>
      <c r="H223" s="519">
        <f t="shared" si="73"/>
        <v>12.875326435177879</v>
      </c>
      <c r="I223" s="53"/>
      <c r="J223" s="776">
        <f t="shared" si="74"/>
        <v>0.77251958611067262</v>
      </c>
      <c r="K223" s="1212">
        <f>'Recycling - Case 3'!Z143</f>
        <v>2457.7370057009366</v>
      </c>
      <c r="L223" s="1211">
        <f>L222</f>
        <v>0.5</v>
      </c>
      <c r="M223" s="1211">
        <f>M222</f>
        <v>0.5</v>
      </c>
      <c r="N223" s="53">
        <f t="shared" si="66"/>
        <v>0</v>
      </c>
      <c r="O223" s="53">
        <f t="shared" si="66"/>
        <v>0</v>
      </c>
      <c r="P223" s="776">
        <f t="shared" si="67"/>
        <v>0.98309480228037471</v>
      </c>
      <c r="Q223" s="519">
        <f t="shared" si="68"/>
        <v>4.9154740114018729</v>
      </c>
      <c r="R223" s="53"/>
      <c r="S223" s="1213">
        <f t="shared" si="69"/>
        <v>0.29492844068411239</v>
      </c>
      <c r="T223" s="1200">
        <f t="shared" si="70"/>
        <v>3.5581600893159502</v>
      </c>
      <c r="U223" s="1201">
        <f t="shared" si="70"/>
        <v>17.790800446579752</v>
      </c>
      <c r="V223" s="1201">
        <f t="shared" si="70"/>
        <v>0</v>
      </c>
      <c r="W223" s="1202">
        <f t="shared" si="70"/>
        <v>1.067448026794785</v>
      </c>
    </row>
    <row r="224" spans="1:23">
      <c r="A224" s="123">
        <f>'Input data'!A124</f>
        <v>2024</v>
      </c>
      <c r="B224" s="1210">
        <f>'Recycling - Case 3'!AI104</f>
        <v>6437.663217588939</v>
      </c>
      <c r="C224" s="1211">
        <f t="shared" ref="C224:D239" si="75">C223</f>
        <v>0.5</v>
      </c>
      <c r="D224" s="1211">
        <f t="shared" si="75"/>
        <v>0.5</v>
      </c>
      <c r="E224" s="53">
        <v>0</v>
      </c>
      <c r="F224" s="53">
        <v>0</v>
      </c>
      <c r="G224" s="776">
        <f t="shared" si="72"/>
        <v>2.5750652870355757</v>
      </c>
      <c r="H224" s="519">
        <f t="shared" si="73"/>
        <v>12.875326435177879</v>
      </c>
      <c r="I224" s="53"/>
      <c r="J224" s="776">
        <f t="shared" si="74"/>
        <v>0.77251958611067262</v>
      </c>
      <c r="K224" s="1212">
        <f>'Recycling - Case 3'!Z144</f>
        <v>2490.9560146032422</v>
      </c>
      <c r="L224" s="1211">
        <f t="shared" ref="L224:M239" si="76">L223</f>
        <v>0.5</v>
      </c>
      <c r="M224" s="1211">
        <f t="shared" si="76"/>
        <v>0.5</v>
      </c>
      <c r="N224" s="53">
        <f t="shared" si="66"/>
        <v>0</v>
      </c>
      <c r="O224" s="53">
        <f t="shared" si="66"/>
        <v>0</v>
      </c>
      <c r="P224" s="776">
        <f t="shared" si="67"/>
        <v>0.996382405841297</v>
      </c>
      <c r="Q224" s="519">
        <f t="shared" si="68"/>
        <v>4.9819120292064847</v>
      </c>
      <c r="R224" s="53"/>
      <c r="S224" s="1213">
        <f t="shared" si="69"/>
        <v>0.29891472175238909</v>
      </c>
      <c r="T224" s="1200">
        <f t="shared" si="70"/>
        <v>3.5714476928768728</v>
      </c>
      <c r="U224" s="1201">
        <f t="shared" si="70"/>
        <v>17.857238464384363</v>
      </c>
      <c r="V224" s="1201">
        <f t="shared" si="70"/>
        <v>0</v>
      </c>
      <c r="W224" s="1202">
        <f t="shared" si="70"/>
        <v>1.0714343078630617</v>
      </c>
    </row>
    <row r="225" spans="1:23">
      <c r="A225" s="123">
        <f>'Input data'!A125</f>
        <v>2025</v>
      </c>
      <c r="B225" s="1210">
        <f>'Recycling - Case 3'!AI105</f>
        <v>6437.663217588939</v>
      </c>
      <c r="C225" s="1211">
        <f t="shared" si="75"/>
        <v>0.5</v>
      </c>
      <c r="D225" s="1211">
        <f t="shared" si="75"/>
        <v>0.5</v>
      </c>
      <c r="E225" s="53">
        <v>0</v>
      </c>
      <c r="F225" s="53">
        <v>0</v>
      </c>
      <c r="G225" s="776">
        <f t="shared" si="72"/>
        <v>2.5750652870355757</v>
      </c>
      <c r="H225" s="519">
        <f t="shared" si="73"/>
        <v>12.875326435177879</v>
      </c>
      <c r="I225" s="53"/>
      <c r="J225" s="776">
        <f t="shared" si="74"/>
        <v>0.77251958611067262</v>
      </c>
      <c r="K225" s="1212">
        <f>'Recycling - Case 3'!Z145</f>
        <v>2525.5926430810055</v>
      </c>
      <c r="L225" s="1211">
        <f t="shared" si="76"/>
        <v>0.5</v>
      </c>
      <c r="M225" s="1211">
        <f t="shared" si="76"/>
        <v>0.5</v>
      </c>
      <c r="N225" s="53">
        <f t="shared" si="66"/>
        <v>0</v>
      </c>
      <c r="O225" s="53">
        <f t="shared" si="66"/>
        <v>0</v>
      </c>
      <c r="P225" s="776">
        <f t="shared" si="67"/>
        <v>1.0102370572324022</v>
      </c>
      <c r="Q225" s="519">
        <f t="shared" si="68"/>
        <v>5.0511852861620108</v>
      </c>
      <c r="R225" s="53"/>
      <c r="S225" s="1213">
        <f t="shared" si="69"/>
        <v>0.30307111716972063</v>
      </c>
      <c r="T225" s="1200">
        <f t="shared" si="70"/>
        <v>3.5853023442679781</v>
      </c>
      <c r="U225" s="1201">
        <f t="shared" si="70"/>
        <v>17.926511721339889</v>
      </c>
      <c r="V225" s="1201">
        <f t="shared" si="70"/>
        <v>0</v>
      </c>
      <c r="W225" s="1202">
        <f t="shared" si="70"/>
        <v>1.0755907032803933</v>
      </c>
    </row>
    <row r="226" spans="1:23">
      <c r="A226" s="123">
        <f>'Input data'!A126</f>
        <v>2026</v>
      </c>
      <c r="B226" s="1210">
        <f>'Recycling - Case 3'!AI106</f>
        <v>6437.663217588939</v>
      </c>
      <c r="C226" s="1211">
        <f t="shared" si="75"/>
        <v>0.5</v>
      </c>
      <c r="D226" s="1211">
        <f t="shared" si="75"/>
        <v>0.5</v>
      </c>
      <c r="E226" s="53">
        <v>0</v>
      </c>
      <c r="F226" s="53">
        <v>0</v>
      </c>
      <c r="G226" s="776">
        <f t="shared" si="72"/>
        <v>2.5750652870355757</v>
      </c>
      <c r="H226" s="519">
        <f t="shared" si="73"/>
        <v>12.875326435177879</v>
      </c>
      <c r="I226" s="53"/>
      <c r="J226" s="776">
        <f t="shared" si="74"/>
        <v>0.77251958611067262</v>
      </c>
      <c r="K226" s="1212">
        <f>'Recycling - Case 3'!Z146</f>
        <v>2566.7307682324217</v>
      </c>
      <c r="L226" s="1211">
        <f t="shared" si="76"/>
        <v>0.5</v>
      </c>
      <c r="M226" s="1211">
        <f t="shared" si="76"/>
        <v>0.5</v>
      </c>
      <c r="N226" s="53">
        <f t="shared" si="66"/>
        <v>0</v>
      </c>
      <c r="O226" s="53">
        <f t="shared" si="66"/>
        <v>0</v>
      </c>
      <c r="P226" s="776">
        <f t="shared" si="67"/>
        <v>1.0266923072929688</v>
      </c>
      <c r="Q226" s="519">
        <f t="shared" si="68"/>
        <v>5.1334615364648437</v>
      </c>
      <c r="R226" s="53"/>
      <c r="S226" s="1213">
        <f t="shared" si="69"/>
        <v>0.30800769218789059</v>
      </c>
      <c r="T226" s="1200">
        <f t="shared" si="70"/>
        <v>3.6017575943285447</v>
      </c>
      <c r="U226" s="1201">
        <f t="shared" si="70"/>
        <v>18.008787971642722</v>
      </c>
      <c r="V226" s="1201">
        <f t="shared" si="70"/>
        <v>0</v>
      </c>
      <c r="W226" s="1202">
        <f t="shared" si="70"/>
        <v>1.0805272782985633</v>
      </c>
    </row>
    <row r="227" spans="1:23">
      <c r="A227" s="123">
        <f>'Input data'!A127</f>
        <v>2027</v>
      </c>
      <c r="B227" s="1210">
        <f>'Recycling - Case 3'!AI107</f>
        <v>6437.663217588939</v>
      </c>
      <c r="C227" s="1211">
        <f t="shared" si="75"/>
        <v>0.5</v>
      </c>
      <c r="D227" s="1211">
        <f t="shared" si="75"/>
        <v>0.5</v>
      </c>
      <c r="E227" s="53">
        <v>0</v>
      </c>
      <c r="F227" s="53">
        <v>0</v>
      </c>
      <c r="G227" s="776">
        <f t="shared" si="72"/>
        <v>2.5750652870355757</v>
      </c>
      <c r="H227" s="519">
        <f t="shared" si="73"/>
        <v>12.875326435177879</v>
      </c>
      <c r="I227" s="53"/>
      <c r="J227" s="776">
        <f t="shared" si="74"/>
        <v>0.77251958611067262</v>
      </c>
      <c r="K227" s="1212">
        <f>'Recycling - Case 3'!Z147</f>
        <v>2607.4669629294931</v>
      </c>
      <c r="L227" s="1211">
        <f t="shared" si="76"/>
        <v>0.5</v>
      </c>
      <c r="M227" s="1211">
        <f t="shared" si="76"/>
        <v>0.5</v>
      </c>
      <c r="N227" s="53">
        <f t="shared" si="66"/>
        <v>0</v>
      </c>
      <c r="O227" s="53">
        <f t="shared" si="66"/>
        <v>0</v>
      </c>
      <c r="P227" s="776">
        <f t="shared" si="67"/>
        <v>1.0429867851717973</v>
      </c>
      <c r="Q227" s="519">
        <f t="shared" si="68"/>
        <v>5.2149339258589862</v>
      </c>
      <c r="R227" s="53"/>
      <c r="S227" s="1213">
        <f t="shared" si="69"/>
        <v>0.31289603555153916</v>
      </c>
      <c r="T227" s="1200">
        <f t="shared" si="70"/>
        <v>3.618052072207373</v>
      </c>
      <c r="U227" s="1201">
        <f t="shared" si="70"/>
        <v>18.090260361036865</v>
      </c>
      <c r="V227" s="1201">
        <f t="shared" si="70"/>
        <v>0</v>
      </c>
      <c r="W227" s="1202">
        <f t="shared" si="70"/>
        <v>1.0854156216622117</v>
      </c>
    </row>
    <row r="228" spans="1:23">
      <c r="A228" s="123">
        <f>'Input data'!A128</f>
        <v>2028</v>
      </c>
      <c r="B228" s="1210">
        <f>'Recycling - Case 3'!AI108</f>
        <v>6437.663217588939</v>
      </c>
      <c r="C228" s="1211">
        <f t="shared" si="75"/>
        <v>0.5</v>
      </c>
      <c r="D228" s="1211">
        <f t="shared" si="75"/>
        <v>0.5</v>
      </c>
      <c r="E228" s="53">
        <v>0</v>
      </c>
      <c r="F228" s="53">
        <v>0</v>
      </c>
      <c r="G228" s="776">
        <f t="shared" si="72"/>
        <v>2.5750652870355757</v>
      </c>
      <c r="H228" s="519">
        <f t="shared" si="73"/>
        <v>12.875326435177879</v>
      </c>
      <c r="I228" s="53"/>
      <c r="J228" s="776">
        <f t="shared" si="74"/>
        <v>0.77251958611067262</v>
      </c>
      <c r="K228" s="1212">
        <f>'Recycling - Case 3'!Z148</f>
        <v>2650.1584949720245</v>
      </c>
      <c r="L228" s="1211">
        <f t="shared" si="76"/>
        <v>0.5</v>
      </c>
      <c r="M228" s="1211">
        <f t="shared" si="76"/>
        <v>0.5</v>
      </c>
      <c r="N228" s="53">
        <f t="shared" si="66"/>
        <v>0</v>
      </c>
      <c r="O228" s="53">
        <f t="shared" si="66"/>
        <v>0</v>
      </c>
      <c r="P228" s="776">
        <f t="shared" si="67"/>
        <v>1.0600633979888099</v>
      </c>
      <c r="Q228" s="519">
        <f t="shared" si="68"/>
        <v>5.300316989944049</v>
      </c>
      <c r="R228" s="53"/>
      <c r="S228" s="1213">
        <f t="shared" si="69"/>
        <v>0.31801901939664295</v>
      </c>
      <c r="T228" s="1200">
        <f t="shared" si="70"/>
        <v>3.6351286850243856</v>
      </c>
      <c r="U228" s="1201">
        <f t="shared" si="70"/>
        <v>18.175643425121926</v>
      </c>
      <c r="V228" s="1201">
        <f t="shared" si="70"/>
        <v>0</v>
      </c>
      <c r="W228" s="1202">
        <f t="shared" si="70"/>
        <v>1.0905386055073156</v>
      </c>
    </row>
    <row r="229" spans="1:23">
      <c r="A229" s="123">
        <f>'Input data'!A129</f>
        <v>2029</v>
      </c>
      <c r="B229" s="1210">
        <f>'Recycling - Case 3'!AI109</f>
        <v>6437.663217588939</v>
      </c>
      <c r="C229" s="1211">
        <f t="shared" si="75"/>
        <v>0.5</v>
      </c>
      <c r="D229" s="1211">
        <f t="shared" si="75"/>
        <v>0.5</v>
      </c>
      <c r="E229" s="53">
        <v>0</v>
      </c>
      <c r="F229" s="53">
        <v>0</v>
      </c>
      <c r="G229" s="776">
        <f t="shared" si="72"/>
        <v>2.5750652870355757</v>
      </c>
      <c r="H229" s="519">
        <f t="shared" si="73"/>
        <v>12.875326435177879</v>
      </c>
      <c r="I229" s="53"/>
      <c r="J229" s="776">
        <f t="shared" si="74"/>
        <v>0.77251958611067262</v>
      </c>
      <c r="K229" s="1212">
        <f>'Recycling - Case 3'!Z149</f>
        <v>2694.2622150973871</v>
      </c>
      <c r="L229" s="1211">
        <f t="shared" si="76"/>
        <v>0.5</v>
      </c>
      <c r="M229" s="1211">
        <f t="shared" si="76"/>
        <v>0.5</v>
      </c>
      <c r="N229" s="53">
        <f t="shared" si="66"/>
        <v>0</v>
      </c>
      <c r="O229" s="53">
        <f t="shared" si="66"/>
        <v>0</v>
      </c>
      <c r="P229" s="776">
        <f t="shared" si="67"/>
        <v>1.0777048860389549</v>
      </c>
      <c r="Q229" s="519">
        <f t="shared" si="68"/>
        <v>5.3885244301947743</v>
      </c>
      <c r="R229" s="53"/>
      <c r="S229" s="1213">
        <f t="shared" si="69"/>
        <v>0.32331146581168646</v>
      </c>
      <c r="T229" s="1200">
        <f t="shared" si="70"/>
        <v>3.6527701730745306</v>
      </c>
      <c r="U229" s="1201">
        <f t="shared" si="70"/>
        <v>18.263850865372653</v>
      </c>
      <c r="V229" s="1201">
        <f t="shared" si="70"/>
        <v>0</v>
      </c>
      <c r="W229" s="1202">
        <f t="shared" si="70"/>
        <v>1.0958310519223591</v>
      </c>
    </row>
    <row r="230" spans="1:23">
      <c r="A230" s="123">
        <f>'Input data'!A130</f>
        <v>2030</v>
      </c>
      <c r="B230" s="1210">
        <f>'Recycling - Case 3'!AI110</f>
        <v>6437.663217588939</v>
      </c>
      <c r="C230" s="1211">
        <f t="shared" si="75"/>
        <v>0.5</v>
      </c>
      <c r="D230" s="1211">
        <f t="shared" si="75"/>
        <v>0.5</v>
      </c>
      <c r="E230" s="53">
        <v>0</v>
      </c>
      <c r="F230" s="53">
        <v>0</v>
      </c>
      <c r="G230" s="776">
        <f t="shared" si="72"/>
        <v>2.5750652870355757</v>
      </c>
      <c r="H230" s="519">
        <f t="shared" si="73"/>
        <v>12.875326435177879</v>
      </c>
      <c r="I230" s="53"/>
      <c r="J230" s="776">
        <f t="shared" si="74"/>
        <v>0.77251958611067262</v>
      </c>
      <c r="K230" s="1212">
        <f>'Recycling - Case 3'!Z150</f>
        <v>2739.9084791286127</v>
      </c>
      <c r="L230" s="1211">
        <f t="shared" si="76"/>
        <v>0.5</v>
      </c>
      <c r="M230" s="1211">
        <f t="shared" si="76"/>
        <v>0.5</v>
      </c>
      <c r="N230" s="53">
        <f t="shared" si="66"/>
        <v>0</v>
      </c>
      <c r="O230" s="53">
        <f t="shared" si="66"/>
        <v>0</v>
      </c>
      <c r="P230" s="776">
        <f t="shared" si="67"/>
        <v>1.0959633916514451</v>
      </c>
      <c r="Q230" s="519">
        <f t="shared" si="68"/>
        <v>5.4798169582572251</v>
      </c>
      <c r="R230" s="53"/>
      <c r="S230" s="1213">
        <f t="shared" si="69"/>
        <v>0.32878901749543354</v>
      </c>
      <c r="T230" s="1200">
        <f t="shared" si="70"/>
        <v>3.671028678687021</v>
      </c>
      <c r="U230" s="1201">
        <f t="shared" si="70"/>
        <v>18.355143393435103</v>
      </c>
      <c r="V230" s="1201">
        <f t="shared" si="70"/>
        <v>0</v>
      </c>
      <c r="W230" s="1202">
        <f t="shared" si="70"/>
        <v>1.1013086036061062</v>
      </c>
    </row>
    <row r="231" spans="1:23">
      <c r="A231" s="123">
        <f>'Input data'!A131</f>
        <v>2031</v>
      </c>
      <c r="B231" s="1210">
        <f>'Recycling - Case 3'!AI111</f>
        <v>6437.663217588939</v>
      </c>
      <c r="C231" s="1211">
        <f t="shared" si="75"/>
        <v>0.5</v>
      </c>
      <c r="D231" s="1211">
        <f t="shared" si="75"/>
        <v>0.5</v>
      </c>
      <c r="E231" s="53">
        <v>0</v>
      </c>
      <c r="F231" s="53">
        <v>0</v>
      </c>
      <c r="G231" s="776">
        <f t="shared" si="72"/>
        <v>2.5750652870355757</v>
      </c>
      <c r="H231" s="519">
        <f t="shared" si="73"/>
        <v>12.875326435177879</v>
      </c>
      <c r="I231" s="53"/>
      <c r="J231" s="776">
        <f t="shared" si="74"/>
        <v>0.77251958611067262</v>
      </c>
      <c r="K231" s="1212">
        <f>'Recycling - Case 3'!Z151</f>
        <v>2794.7176712203664</v>
      </c>
      <c r="L231" s="1211">
        <f t="shared" si="76"/>
        <v>0.5</v>
      </c>
      <c r="M231" s="1211">
        <f t="shared" si="76"/>
        <v>0.5</v>
      </c>
      <c r="N231" s="53">
        <f t="shared" si="66"/>
        <v>0</v>
      </c>
      <c r="O231" s="53">
        <f t="shared" si="66"/>
        <v>0</v>
      </c>
      <c r="P231" s="776">
        <f t="shared" si="67"/>
        <v>1.1178870684881466</v>
      </c>
      <c r="Q231" s="519">
        <f t="shared" si="68"/>
        <v>5.5894353424407326</v>
      </c>
      <c r="R231" s="53"/>
      <c r="S231" s="1213">
        <f t="shared" si="69"/>
        <v>0.33536612054644394</v>
      </c>
      <c r="T231" s="1200">
        <f t="shared" si="70"/>
        <v>3.6929523555237225</v>
      </c>
      <c r="U231" s="1201">
        <f t="shared" si="70"/>
        <v>18.464761777618612</v>
      </c>
      <c r="V231" s="1201">
        <f t="shared" si="70"/>
        <v>0</v>
      </c>
      <c r="W231" s="1202">
        <f t="shared" si="70"/>
        <v>1.1078857066571166</v>
      </c>
    </row>
    <row r="232" spans="1:23">
      <c r="A232" s="123">
        <f>'Input data'!A132</f>
        <v>2032</v>
      </c>
      <c r="B232" s="1210">
        <f>'Recycling - Case 3'!AI112</f>
        <v>6437.663217588939</v>
      </c>
      <c r="C232" s="1211">
        <f t="shared" si="75"/>
        <v>0.5</v>
      </c>
      <c r="D232" s="1211">
        <f t="shared" si="75"/>
        <v>0.5</v>
      </c>
      <c r="E232" s="53">
        <v>0</v>
      </c>
      <c r="F232" s="53">
        <v>0</v>
      </c>
      <c r="G232" s="776">
        <f t="shared" si="72"/>
        <v>2.5750652870355757</v>
      </c>
      <c r="H232" s="519">
        <f t="shared" si="73"/>
        <v>12.875326435177879</v>
      </c>
      <c r="I232" s="53"/>
      <c r="J232" s="776">
        <f t="shared" si="74"/>
        <v>0.77251958611067262</v>
      </c>
      <c r="K232" s="1212">
        <f>'Recycling - Case 3'!Z152</f>
        <v>2846.9523358072647</v>
      </c>
      <c r="L232" s="1211">
        <f t="shared" si="76"/>
        <v>0.5</v>
      </c>
      <c r="M232" s="1211">
        <f t="shared" si="76"/>
        <v>0.5</v>
      </c>
      <c r="N232" s="53">
        <f t="shared" si="66"/>
        <v>0</v>
      </c>
      <c r="O232" s="53">
        <f t="shared" si="66"/>
        <v>0</v>
      </c>
      <c r="P232" s="776">
        <f t="shared" si="67"/>
        <v>1.1387809343229061</v>
      </c>
      <c r="Q232" s="519">
        <f t="shared" si="68"/>
        <v>5.6939046716145292</v>
      </c>
      <c r="R232" s="53"/>
      <c r="S232" s="1213">
        <f t="shared" si="69"/>
        <v>0.34163428029687176</v>
      </c>
      <c r="T232" s="1200">
        <f t="shared" si="70"/>
        <v>3.713846221358482</v>
      </c>
      <c r="U232" s="1201">
        <f t="shared" si="70"/>
        <v>18.569231106792408</v>
      </c>
      <c r="V232" s="1201">
        <f t="shared" si="70"/>
        <v>0</v>
      </c>
      <c r="W232" s="1202">
        <f t="shared" si="70"/>
        <v>1.1141538664075443</v>
      </c>
    </row>
    <row r="233" spans="1:23">
      <c r="A233" s="123">
        <f>'Input data'!A133</f>
        <v>2033</v>
      </c>
      <c r="B233" s="1210">
        <f>'Recycling - Case 3'!AI113</f>
        <v>6437.663217588939</v>
      </c>
      <c r="C233" s="1211">
        <f t="shared" si="75"/>
        <v>0.5</v>
      </c>
      <c r="D233" s="1211">
        <f t="shared" si="75"/>
        <v>0.5</v>
      </c>
      <c r="E233" s="53">
        <v>0</v>
      </c>
      <c r="F233" s="53">
        <v>0</v>
      </c>
      <c r="G233" s="776">
        <f t="shared" si="72"/>
        <v>2.5750652870355757</v>
      </c>
      <c r="H233" s="519">
        <f t="shared" si="73"/>
        <v>12.875326435177879</v>
      </c>
      <c r="I233" s="53"/>
      <c r="J233" s="776">
        <f t="shared" si="74"/>
        <v>0.77251958611067262</v>
      </c>
      <c r="K233" s="1212">
        <f>'Recycling - Case 3'!Z153</f>
        <v>2904.9661085485213</v>
      </c>
      <c r="L233" s="1211">
        <f t="shared" si="76"/>
        <v>0.5</v>
      </c>
      <c r="M233" s="1211">
        <f t="shared" si="76"/>
        <v>0.5</v>
      </c>
      <c r="N233" s="53">
        <f t="shared" si="66"/>
        <v>0</v>
      </c>
      <c r="O233" s="53">
        <f t="shared" si="66"/>
        <v>0</v>
      </c>
      <c r="P233" s="776">
        <f t="shared" si="67"/>
        <v>1.1619864434194085</v>
      </c>
      <c r="Q233" s="519">
        <f t="shared" si="68"/>
        <v>5.8099322170970424</v>
      </c>
      <c r="R233" s="53"/>
      <c r="S233" s="1213">
        <f t="shared" si="69"/>
        <v>0.34859593302582254</v>
      </c>
      <c r="T233" s="1200">
        <f t="shared" si="70"/>
        <v>3.7370517304549842</v>
      </c>
      <c r="U233" s="1201">
        <f t="shared" si="70"/>
        <v>18.685258652274921</v>
      </c>
      <c r="V233" s="1201">
        <f t="shared" si="70"/>
        <v>0</v>
      </c>
      <c r="W233" s="1202">
        <f t="shared" si="70"/>
        <v>1.1211155191364952</v>
      </c>
    </row>
    <row r="234" spans="1:23">
      <c r="A234" s="123">
        <f>'Input data'!A134</f>
        <v>2034</v>
      </c>
      <c r="B234" s="1210">
        <f>'Recycling - Case 3'!AI114</f>
        <v>6437.663217588939</v>
      </c>
      <c r="C234" s="1211">
        <f t="shared" si="75"/>
        <v>0.5</v>
      </c>
      <c r="D234" s="1211">
        <f t="shared" si="75"/>
        <v>0.5</v>
      </c>
      <c r="E234" s="53">
        <v>0</v>
      </c>
      <c r="F234" s="53">
        <v>0</v>
      </c>
      <c r="G234" s="776">
        <f t="shared" si="72"/>
        <v>2.5750652870355757</v>
      </c>
      <c r="H234" s="519">
        <f t="shared" si="73"/>
        <v>12.875326435177879</v>
      </c>
      <c r="I234" s="53"/>
      <c r="J234" s="776">
        <f t="shared" si="74"/>
        <v>0.77251958611067262</v>
      </c>
      <c r="K234" s="1212">
        <f>'Recycling - Case 3'!Z154</f>
        <v>2966.9991858332214</v>
      </c>
      <c r="L234" s="1211">
        <f t="shared" si="76"/>
        <v>0.5</v>
      </c>
      <c r="M234" s="1211">
        <f t="shared" si="76"/>
        <v>0.5</v>
      </c>
      <c r="N234" s="53">
        <f t="shared" ref="N234:O249" si="77">N96</f>
        <v>0</v>
      </c>
      <c r="O234" s="53">
        <f t="shared" si="77"/>
        <v>0</v>
      </c>
      <c r="P234" s="776">
        <f t="shared" si="67"/>
        <v>1.1867996743332885</v>
      </c>
      <c r="Q234" s="519">
        <f t="shared" si="68"/>
        <v>5.9339983716664424</v>
      </c>
      <c r="R234" s="53"/>
      <c r="S234" s="1213">
        <f t="shared" si="69"/>
        <v>0.35603990229998655</v>
      </c>
      <c r="T234" s="1200">
        <f t="shared" si="70"/>
        <v>3.7618649613688642</v>
      </c>
      <c r="U234" s="1201">
        <f t="shared" si="70"/>
        <v>18.809324806844323</v>
      </c>
      <c r="V234" s="1201">
        <f t="shared" si="70"/>
        <v>0</v>
      </c>
      <c r="W234" s="1202">
        <f t="shared" si="70"/>
        <v>1.1285594884106591</v>
      </c>
    </row>
    <row r="235" spans="1:23">
      <c r="A235" s="123">
        <f>'Input data'!A135</f>
        <v>2035</v>
      </c>
      <c r="B235" s="1210">
        <f>'Recycling - Case 3'!AI115</f>
        <v>6437.663217588939</v>
      </c>
      <c r="C235" s="1211">
        <f t="shared" si="75"/>
        <v>0.5</v>
      </c>
      <c r="D235" s="1211">
        <f t="shared" si="75"/>
        <v>0.5</v>
      </c>
      <c r="E235" s="53">
        <v>0</v>
      </c>
      <c r="F235" s="53">
        <v>0</v>
      </c>
      <c r="G235" s="776">
        <f t="shared" si="72"/>
        <v>2.5750652870355757</v>
      </c>
      <c r="H235" s="519">
        <f t="shared" si="73"/>
        <v>12.875326435177879</v>
      </c>
      <c r="I235" s="53"/>
      <c r="J235" s="776">
        <f t="shared" si="74"/>
        <v>0.77251958611067262</v>
      </c>
      <c r="K235" s="1212">
        <f>'Recycling - Case 3'!Z155</f>
        <v>3033.3014163221746</v>
      </c>
      <c r="L235" s="1211">
        <f t="shared" si="76"/>
        <v>0.5</v>
      </c>
      <c r="M235" s="1211">
        <f t="shared" si="76"/>
        <v>0.5</v>
      </c>
      <c r="N235" s="53">
        <f t="shared" si="77"/>
        <v>0</v>
      </c>
      <c r="O235" s="53">
        <f t="shared" si="77"/>
        <v>0</v>
      </c>
      <c r="P235" s="776">
        <f t="shared" si="67"/>
        <v>1.21332056652887</v>
      </c>
      <c r="Q235" s="519">
        <f t="shared" si="68"/>
        <v>6.0666028326443495</v>
      </c>
      <c r="R235" s="53"/>
      <c r="S235" s="1213">
        <f t="shared" si="69"/>
        <v>0.36399616995866096</v>
      </c>
      <c r="T235" s="1200">
        <f t="shared" si="70"/>
        <v>3.7883858535644457</v>
      </c>
      <c r="U235" s="1201">
        <f t="shared" si="70"/>
        <v>18.941929267822228</v>
      </c>
      <c r="V235" s="1201">
        <f t="shared" si="70"/>
        <v>0</v>
      </c>
      <c r="W235" s="1202">
        <f t="shared" si="70"/>
        <v>1.1365157560693335</v>
      </c>
    </row>
    <row r="236" spans="1:23">
      <c r="A236" s="123">
        <f>'Input data'!A136</f>
        <v>2036</v>
      </c>
      <c r="B236" s="1210">
        <f>'Recycling - Case 3'!AI116</f>
        <v>6437.663217588939</v>
      </c>
      <c r="C236" s="1211">
        <f t="shared" si="75"/>
        <v>0.5</v>
      </c>
      <c r="D236" s="1211">
        <f t="shared" si="75"/>
        <v>0.5</v>
      </c>
      <c r="E236" s="53">
        <v>0</v>
      </c>
      <c r="F236" s="53">
        <v>0</v>
      </c>
      <c r="G236" s="776">
        <f t="shared" si="72"/>
        <v>2.5750652870355757</v>
      </c>
      <c r="H236" s="519">
        <f t="shared" si="73"/>
        <v>12.875326435177879</v>
      </c>
      <c r="I236" s="53"/>
      <c r="J236" s="776">
        <f t="shared" si="74"/>
        <v>0.77251958611067262</v>
      </c>
      <c r="K236" s="1212">
        <f>'Recycling - Case 3'!Z156</f>
        <v>3101.5644156492149</v>
      </c>
      <c r="L236" s="1211">
        <f t="shared" si="76"/>
        <v>0.5</v>
      </c>
      <c r="M236" s="1211">
        <f t="shared" si="76"/>
        <v>0.5</v>
      </c>
      <c r="N236" s="53">
        <f t="shared" si="77"/>
        <v>0</v>
      </c>
      <c r="O236" s="53">
        <f t="shared" si="77"/>
        <v>0</v>
      </c>
      <c r="P236" s="776">
        <f t="shared" si="67"/>
        <v>1.240625766259686</v>
      </c>
      <c r="Q236" s="519">
        <f t="shared" si="68"/>
        <v>6.2031288312984296</v>
      </c>
      <c r="R236" s="53"/>
      <c r="S236" s="1213">
        <f t="shared" si="69"/>
        <v>0.37218772987790577</v>
      </c>
      <c r="T236" s="1200">
        <f t="shared" si="70"/>
        <v>3.8156910532952617</v>
      </c>
      <c r="U236" s="1201">
        <f t="shared" si="70"/>
        <v>19.078455266476308</v>
      </c>
      <c r="V236" s="1201">
        <f t="shared" si="70"/>
        <v>0</v>
      </c>
      <c r="W236" s="1202">
        <f t="shared" si="70"/>
        <v>1.1447073159885783</v>
      </c>
    </row>
    <row r="237" spans="1:23">
      <c r="A237" s="123">
        <f>'Input data'!A137</f>
        <v>2037</v>
      </c>
      <c r="B237" s="1210">
        <f>'Recycling - Case 3'!AI117</f>
        <v>6437.663217588939</v>
      </c>
      <c r="C237" s="1211">
        <f t="shared" si="75"/>
        <v>0.5</v>
      </c>
      <c r="D237" s="1211">
        <f t="shared" si="75"/>
        <v>0.5</v>
      </c>
      <c r="E237" s="53">
        <v>0</v>
      </c>
      <c r="F237" s="53">
        <v>0</v>
      </c>
      <c r="G237" s="776">
        <f t="shared" si="72"/>
        <v>2.5750652870355757</v>
      </c>
      <c r="H237" s="519">
        <f t="shared" si="73"/>
        <v>12.875326435177879</v>
      </c>
      <c r="I237" s="53"/>
      <c r="J237" s="776">
        <f t="shared" si="74"/>
        <v>0.77251958611067262</v>
      </c>
      <c r="K237" s="1212">
        <f>'Recycling - Case 3'!Z157</f>
        <v>3172.7332635313132</v>
      </c>
      <c r="L237" s="1211">
        <f t="shared" si="76"/>
        <v>0.5</v>
      </c>
      <c r="M237" s="1211">
        <f t="shared" si="76"/>
        <v>0.5</v>
      </c>
      <c r="N237" s="53">
        <f t="shared" si="77"/>
        <v>0</v>
      </c>
      <c r="O237" s="53">
        <f t="shared" si="77"/>
        <v>0</v>
      </c>
      <c r="P237" s="776">
        <f t="shared" si="67"/>
        <v>1.2690933054125253</v>
      </c>
      <c r="Q237" s="519">
        <f t="shared" si="68"/>
        <v>6.3454665270626265</v>
      </c>
      <c r="R237" s="53"/>
      <c r="S237" s="1213">
        <f t="shared" si="69"/>
        <v>0.38072799162375759</v>
      </c>
      <c r="T237" s="1200">
        <f t="shared" si="70"/>
        <v>3.844158592448101</v>
      </c>
      <c r="U237" s="1201">
        <f t="shared" si="70"/>
        <v>19.220792962240505</v>
      </c>
      <c r="V237" s="1201">
        <f t="shared" si="70"/>
        <v>0</v>
      </c>
      <c r="W237" s="1202">
        <f t="shared" si="70"/>
        <v>1.1532475777344302</v>
      </c>
    </row>
    <row r="238" spans="1:23">
      <c r="A238" s="123">
        <f>'Input data'!A138</f>
        <v>2038</v>
      </c>
      <c r="B238" s="1210">
        <f>'Recycling - Case 3'!AI118</f>
        <v>6437.663217588939</v>
      </c>
      <c r="C238" s="1211">
        <f t="shared" si="75"/>
        <v>0.5</v>
      </c>
      <c r="D238" s="1211">
        <f t="shared" si="75"/>
        <v>0.5</v>
      </c>
      <c r="E238" s="53">
        <v>0</v>
      </c>
      <c r="F238" s="53">
        <v>0</v>
      </c>
      <c r="G238" s="776">
        <f t="shared" si="72"/>
        <v>2.5750652870355757</v>
      </c>
      <c r="H238" s="519">
        <f t="shared" si="73"/>
        <v>12.875326435177879</v>
      </c>
      <c r="I238" s="53"/>
      <c r="J238" s="776">
        <f t="shared" si="74"/>
        <v>0.77251958611067262</v>
      </c>
      <c r="K238" s="1212">
        <f>'Recycling - Case 3'!Z158</f>
        <v>3244.988409938665</v>
      </c>
      <c r="L238" s="1211">
        <f t="shared" si="76"/>
        <v>0.5</v>
      </c>
      <c r="M238" s="1211">
        <f t="shared" si="76"/>
        <v>0.5</v>
      </c>
      <c r="N238" s="53">
        <f t="shared" si="77"/>
        <v>0</v>
      </c>
      <c r="O238" s="53">
        <f t="shared" si="77"/>
        <v>0</v>
      </c>
      <c r="P238" s="776">
        <f t="shared" si="67"/>
        <v>1.297995363975466</v>
      </c>
      <c r="Q238" s="519">
        <f t="shared" si="68"/>
        <v>6.48997681987733</v>
      </c>
      <c r="R238" s="53"/>
      <c r="S238" s="1213">
        <f t="shared" si="69"/>
        <v>0.3893986091926398</v>
      </c>
      <c r="T238" s="1200">
        <f t="shared" si="70"/>
        <v>3.8730606510110417</v>
      </c>
      <c r="U238" s="1201">
        <f t="shared" si="70"/>
        <v>19.36530325505521</v>
      </c>
      <c r="V238" s="1201">
        <f t="shared" si="70"/>
        <v>0</v>
      </c>
      <c r="W238" s="1202">
        <f t="shared" si="70"/>
        <v>1.1619181953033124</v>
      </c>
    </row>
    <row r="239" spans="1:23">
      <c r="A239" s="123">
        <f>'Input data'!A139</f>
        <v>2039</v>
      </c>
      <c r="B239" s="1210">
        <f>'Recycling - Case 3'!AI119</f>
        <v>6437.663217588939</v>
      </c>
      <c r="C239" s="1211">
        <f t="shared" si="75"/>
        <v>0.5</v>
      </c>
      <c r="D239" s="1211">
        <f t="shared" si="75"/>
        <v>0.5</v>
      </c>
      <c r="E239" s="53">
        <v>0</v>
      </c>
      <c r="F239" s="53">
        <v>0</v>
      </c>
      <c r="G239" s="776">
        <f t="shared" si="72"/>
        <v>2.5750652870355757</v>
      </c>
      <c r="H239" s="519">
        <f t="shared" si="73"/>
        <v>12.875326435177879</v>
      </c>
      <c r="I239" s="53"/>
      <c r="J239" s="776">
        <f t="shared" si="74"/>
        <v>0.77251958611067262</v>
      </c>
      <c r="K239" s="1212">
        <f>'Recycling - Case 3'!Z159</f>
        <v>3320.2145828125908</v>
      </c>
      <c r="L239" s="1211">
        <f t="shared" si="76"/>
        <v>0.5</v>
      </c>
      <c r="M239" s="1211">
        <f t="shared" si="76"/>
        <v>0.5</v>
      </c>
      <c r="N239" s="53">
        <f t="shared" si="77"/>
        <v>0</v>
      </c>
      <c r="O239" s="53">
        <f t="shared" si="77"/>
        <v>0</v>
      </c>
      <c r="P239" s="776">
        <f t="shared" si="67"/>
        <v>1.3280858331250365</v>
      </c>
      <c r="Q239" s="519">
        <f t="shared" si="68"/>
        <v>6.6404291656251813</v>
      </c>
      <c r="R239" s="53"/>
      <c r="S239" s="1213">
        <f t="shared" si="69"/>
        <v>0.3984257499375109</v>
      </c>
      <c r="T239" s="1200">
        <f t="shared" si="70"/>
        <v>3.9031511201606124</v>
      </c>
      <c r="U239" s="1201">
        <f t="shared" si="70"/>
        <v>19.515755600803061</v>
      </c>
      <c r="V239" s="1201">
        <f t="shared" si="70"/>
        <v>0</v>
      </c>
      <c r="W239" s="1202">
        <f t="shared" si="70"/>
        <v>1.1709453360481836</v>
      </c>
    </row>
    <row r="240" spans="1:23">
      <c r="A240" s="123">
        <f>'Input data'!A140</f>
        <v>2040</v>
      </c>
      <c r="B240" s="1210">
        <f>'Recycling - Case 3'!AI120</f>
        <v>6437.663217588939</v>
      </c>
      <c r="C240" s="1211">
        <f t="shared" ref="C240:D250" si="78">C239</f>
        <v>0.5</v>
      </c>
      <c r="D240" s="1211">
        <f t="shared" si="78"/>
        <v>0.5</v>
      </c>
      <c r="E240" s="53">
        <v>0</v>
      </c>
      <c r="F240" s="53">
        <v>0</v>
      </c>
      <c r="G240" s="776">
        <f t="shared" si="72"/>
        <v>2.5750652870355757</v>
      </c>
      <c r="H240" s="519">
        <f t="shared" si="73"/>
        <v>12.875326435177879</v>
      </c>
      <c r="I240" s="53"/>
      <c r="J240" s="776">
        <f t="shared" si="74"/>
        <v>0.77251958611067262</v>
      </c>
      <c r="K240" s="1212">
        <f>'Recycling - Case 3'!Z160</f>
        <v>3400.0466614335983</v>
      </c>
      <c r="L240" s="1211">
        <f t="shared" ref="L240:M250" si="79">L239</f>
        <v>0.5</v>
      </c>
      <c r="M240" s="1211">
        <f t="shared" si="79"/>
        <v>0.5</v>
      </c>
      <c r="N240" s="53">
        <f t="shared" si="77"/>
        <v>0</v>
      </c>
      <c r="O240" s="53">
        <f t="shared" si="77"/>
        <v>0</v>
      </c>
      <c r="P240" s="776">
        <f t="shared" si="67"/>
        <v>1.3600186645734393</v>
      </c>
      <c r="Q240" s="519">
        <f t="shared" si="68"/>
        <v>6.8000933228671965</v>
      </c>
      <c r="R240" s="53"/>
      <c r="S240" s="1213">
        <f t="shared" si="69"/>
        <v>0.40800559937203179</v>
      </c>
      <c r="T240" s="1200">
        <f t="shared" si="70"/>
        <v>3.9350839516090153</v>
      </c>
      <c r="U240" s="1201">
        <f t="shared" si="70"/>
        <v>19.675419758045074</v>
      </c>
      <c r="V240" s="1201">
        <f t="shared" si="70"/>
        <v>0</v>
      </c>
      <c r="W240" s="1202">
        <f t="shared" si="70"/>
        <v>1.1805251854827044</v>
      </c>
    </row>
    <row r="241" spans="1:23">
      <c r="A241" s="123">
        <f>'Input data'!A141</f>
        <v>2041</v>
      </c>
      <c r="B241" s="1210">
        <f>'Recycling - Case 3'!AI121</f>
        <v>6437.663217588939</v>
      </c>
      <c r="C241" s="1211">
        <f t="shared" si="78"/>
        <v>0.5</v>
      </c>
      <c r="D241" s="1211">
        <f t="shared" si="78"/>
        <v>0.5</v>
      </c>
      <c r="E241" s="53">
        <v>0</v>
      </c>
      <c r="F241" s="53">
        <v>0</v>
      </c>
      <c r="G241" s="776">
        <f t="shared" si="72"/>
        <v>2.5750652870355757</v>
      </c>
      <c r="H241" s="519">
        <f t="shared" si="73"/>
        <v>12.875326435177879</v>
      </c>
      <c r="I241" s="53"/>
      <c r="J241" s="776">
        <f t="shared" si="74"/>
        <v>0.77251958611067262</v>
      </c>
      <c r="K241" s="1212">
        <f>'Recycling - Case 3'!Z161</f>
        <v>3483.1647930935037</v>
      </c>
      <c r="L241" s="1211">
        <f t="shared" si="79"/>
        <v>0.5</v>
      </c>
      <c r="M241" s="1211">
        <f t="shared" si="79"/>
        <v>0.5</v>
      </c>
      <c r="N241" s="53">
        <f t="shared" si="77"/>
        <v>0</v>
      </c>
      <c r="O241" s="53">
        <f t="shared" si="77"/>
        <v>0</v>
      </c>
      <c r="P241" s="776">
        <f t="shared" si="67"/>
        <v>1.3932659172374016</v>
      </c>
      <c r="Q241" s="519">
        <f t="shared" si="68"/>
        <v>6.9663295861870074</v>
      </c>
      <c r="R241" s="53"/>
      <c r="S241" s="1213">
        <f t="shared" si="69"/>
        <v>0.41797977517122042</v>
      </c>
      <c r="T241" s="1200">
        <f t="shared" si="70"/>
        <v>3.9683312042729773</v>
      </c>
      <c r="U241" s="1201">
        <f t="shared" si="70"/>
        <v>19.841656021364887</v>
      </c>
      <c r="V241" s="1201">
        <f t="shared" si="70"/>
        <v>0</v>
      </c>
      <c r="W241" s="1202">
        <f t="shared" si="70"/>
        <v>1.190499361281893</v>
      </c>
    </row>
    <row r="242" spans="1:23">
      <c r="A242" s="123">
        <f>'Input data'!A142</f>
        <v>2042</v>
      </c>
      <c r="B242" s="1210">
        <f>'Recycling - Case 3'!AI122</f>
        <v>6437.663217588939</v>
      </c>
      <c r="C242" s="1211">
        <f t="shared" si="78"/>
        <v>0.5</v>
      </c>
      <c r="D242" s="1211">
        <f t="shared" si="78"/>
        <v>0.5</v>
      </c>
      <c r="E242" s="53">
        <v>0</v>
      </c>
      <c r="F242" s="53">
        <v>0</v>
      </c>
      <c r="G242" s="776">
        <f t="shared" si="72"/>
        <v>2.5750652870355757</v>
      </c>
      <c r="H242" s="519">
        <f t="shared" si="73"/>
        <v>12.875326435177879</v>
      </c>
      <c r="I242" s="53"/>
      <c r="J242" s="776">
        <f t="shared" si="74"/>
        <v>0.77251958611067262</v>
      </c>
      <c r="K242" s="1212">
        <f>'Recycling - Case 3'!Z162</f>
        <v>3569.829689438367</v>
      </c>
      <c r="L242" s="1211">
        <f t="shared" si="79"/>
        <v>0.5</v>
      </c>
      <c r="M242" s="1211">
        <f t="shared" si="79"/>
        <v>0.5</v>
      </c>
      <c r="N242" s="53">
        <f t="shared" si="77"/>
        <v>0</v>
      </c>
      <c r="O242" s="53">
        <f t="shared" si="77"/>
        <v>0</v>
      </c>
      <c r="P242" s="776">
        <f t="shared" si="67"/>
        <v>1.427931875775347</v>
      </c>
      <c r="Q242" s="519">
        <f t="shared" si="68"/>
        <v>7.1396593788767344</v>
      </c>
      <c r="R242" s="53"/>
      <c r="S242" s="1213">
        <f t="shared" si="69"/>
        <v>0.42837956273260402</v>
      </c>
      <c r="T242" s="1200">
        <f t="shared" si="70"/>
        <v>4.0029971628109227</v>
      </c>
      <c r="U242" s="1201">
        <f t="shared" si="70"/>
        <v>20.014985814054612</v>
      </c>
      <c r="V242" s="1201">
        <f t="shared" si="70"/>
        <v>0</v>
      </c>
      <c r="W242" s="1202">
        <f t="shared" si="70"/>
        <v>1.2008991488432765</v>
      </c>
    </row>
    <row r="243" spans="1:23">
      <c r="A243" s="123">
        <f>'Input data'!A143</f>
        <v>2043</v>
      </c>
      <c r="B243" s="1210">
        <f>'Recycling - Case 3'!AI123</f>
        <v>6437.663217588939</v>
      </c>
      <c r="C243" s="1211">
        <f t="shared" si="78"/>
        <v>0.5</v>
      </c>
      <c r="D243" s="1211">
        <f t="shared" si="78"/>
        <v>0.5</v>
      </c>
      <c r="E243" s="53">
        <v>0</v>
      </c>
      <c r="F243" s="53">
        <v>0</v>
      </c>
      <c r="G243" s="776">
        <f t="shared" si="72"/>
        <v>2.5750652870355757</v>
      </c>
      <c r="H243" s="519">
        <f t="shared" si="73"/>
        <v>12.875326435177879</v>
      </c>
      <c r="I243" s="53"/>
      <c r="J243" s="776">
        <f t="shared" si="74"/>
        <v>0.77251958611067262</v>
      </c>
      <c r="K243" s="1212">
        <f>'Recycling - Case 3'!Z163</f>
        <v>3659.8240907631371</v>
      </c>
      <c r="L243" s="1211">
        <f t="shared" si="79"/>
        <v>0.5</v>
      </c>
      <c r="M243" s="1211">
        <f t="shared" si="79"/>
        <v>0.5</v>
      </c>
      <c r="N243" s="53">
        <f t="shared" si="77"/>
        <v>0</v>
      </c>
      <c r="O243" s="53">
        <f t="shared" si="77"/>
        <v>0</v>
      </c>
      <c r="P243" s="776">
        <f t="shared" si="67"/>
        <v>1.463929636305255</v>
      </c>
      <c r="Q243" s="519">
        <f t="shared" si="68"/>
        <v>7.3196481815262739</v>
      </c>
      <c r="R243" s="53"/>
      <c r="S243" s="1213">
        <f t="shared" si="69"/>
        <v>0.43917889089157641</v>
      </c>
      <c r="T243" s="1200">
        <f t="shared" si="70"/>
        <v>4.0389949233408302</v>
      </c>
      <c r="U243" s="1201">
        <f t="shared" si="70"/>
        <v>20.194974616704151</v>
      </c>
      <c r="V243" s="1201">
        <f t="shared" si="70"/>
        <v>0</v>
      </c>
      <c r="W243" s="1202">
        <f t="shared" si="70"/>
        <v>1.211698477002249</v>
      </c>
    </row>
    <row r="244" spans="1:23">
      <c r="A244" s="123">
        <f>'Input data'!A144</f>
        <v>2044</v>
      </c>
      <c r="B244" s="1210">
        <f>'Recycling - Case 3'!AI124</f>
        <v>6437.663217588939</v>
      </c>
      <c r="C244" s="1211">
        <f t="shared" si="78"/>
        <v>0.5</v>
      </c>
      <c r="D244" s="1211">
        <f t="shared" si="78"/>
        <v>0.5</v>
      </c>
      <c r="E244" s="53">
        <v>0</v>
      </c>
      <c r="F244" s="53">
        <v>0</v>
      </c>
      <c r="G244" s="776">
        <f t="shared" si="72"/>
        <v>2.5750652870355757</v>
      </c>
      <c r="H244" s="519">
        <f t="shared" si="73"/>
        <v>12.875326435177879</v>
      </c>
      <c r="I244" s="53"/>
      <c r="J244" s="776">
        <f t="shared" si="74"/>
        <v>0.77251958611067262</v>
      </c>
      <c r="K244" s="1212">
        <f>'Recycling - Case 3'!Z164</f>
        <v>3753.6313999115555</v>
      </c>
      <c r="L244" s="1211">
        <f t="shared" si="79"/>
        <v>0.5</v>
      </c>
      <c r="M244" s="1211">
        <f t="shared" si="79"/>
        <v>0.5</v>
      </c>
      <c r="N244" s="53">
        <f t="shared" si="77"/>
        <v>0</v>
      </c>
      <c r="O244" s="53">
        <f t="shared" si="77"/>
        <v>0</v>
      </c>
      <c r="P244" s="776">
        <f t="shared" si="67"/>
        <v>1.5014525599646222</v>
      </c>
      <c r="Q244" s="519">
        <f t="shared" si="68"/>
        <v>7.5072627998231107</v>
      </c>
      <c r="R244" s="53"/>
      <c r="S244" s="1213">
        <f t="shared" si="69"/>
        <v>0.45043576798938667</v>
      </c>
      <c r="T244" s="1200">
        <f t="shared" si="70"/>
        <v>4.0765178470001979</v>
      </c>
      <c r="U244" s="1201">
        <f t="shared" si="70"/>
        <v>20.382589235000989</v>
      </c>
      <c r="V244" s="1201">
        <f t="shared" si="70"/>
        <v>0</v>
      </c>
      <c r="W244" s="1202">
        <f t="shared" si="70"/>
        <v>1.2229553541000593</v>
      </c>
    </row>
    <row r="245" spans="1:23">
      <c r="A245" s="123">
        <f>'Input data'!A145</f>
        <v>2045</v>
      </c>
      <c r="B245" s="1210">
        <f>'Recycling - Case 3'!AI125</f>
        <v>6437.663217588939</v>
      </c>
      <c r="C245" s="1211">
        <f t="shared" si="78"/>
        <v>0.5</v>
      </c>
      <c r="D245" s="1211">
        <f t="shared" si="78"/>
        <v>0.5</v>
      </c>
      <c r="E245" s="53">
        <v>0</v>
      </c>
      <c r="F245" s="53">
        <v>0</v>
      </c>
      <c r="G245" s="776">
        <f t="shared" si="72"/>
        <v>2.5750652870355757</v>
      </c>
      <c r="H245" s="519">
        <f t="shared" si="73"/>
        <v>12.875326435177879</v>
      </c>
      <c r="I245" s="53"/>
      <c r="J245" s="776">
        <f t="shared" si="74"/>
        <v>0.77251958611067262</v>
      </c>
      <c r="K245" s="1212">
        <f>'Recycling - Case 3'!Z165</f>
        <v>3853.2612691553395</v>
      </c>
      <c r="L245" s="1211">
        <f t="shared" si="79"/>
        <v>0.5</v>
      </c>
      <c r="M245" s="1211">
        <f t="shared" si="79"/>
        <v>0.5</v>
      </c>
      <c r="N245" s="53">
        <f t="shared" si="77"/>
        <v>0</v>
      </c>
      <c r="O245" s="53">
        <f t="shared" si="77"/>
        <v>0</v>
      </c>
      <c r="P245" s="776">
        <f t="shared" si="67"/>
        <v>1.5413045076621359</v>
      </c>
      <c r="Q245" s="519">
        <f t="shared" si="68"/>
        <v>7.7065225383106792</v>
      </c>
      <c r="R245" s="53"/>
      <c r="S245" s="1213">
        <f t="shared" si="69"/>
        <v>0.4623913522986407</v>
      </c>
      <c r="T245" s="1200">
        <f t="shared" si="70"/>
        <v>4.1163697946977118</v>
      </c>
      <c r="U245" s="1201">
        <f t="shared" si="70"/>
        <v>20.581848973488558</v>
      </c>
      <c r="V245" s="1201">
        <f t="shared" si="70"/>
        <v>0</v>
      </c>
      <c r="W245" s="1202">
        <f t="shared" si="70"/>
        <v>1.2349109384093133</v>
      </c>
    </row>
    <row r="246" spans="1:23">
      <c r="A246" s="123">
        <f>'Input data'!A146</f>
        <v>2046</v>
      </c>
      <c r="B246" s="1210">
        <f>'Recycling - Case 3'!AI126</f>
        <v>6437.663217588939</v>
      </c>
      <c r="C246" s="1211">
        <f t="shared" si="78"/>
        <v>0.5</v>
      </c>
      <c r="D246" s="1211">
        <f t="shared" si="78"/>
        <v>0.5</v>
      </c>
      <c r="E246" s="53">
        <v>0</v>
      </c>
      <c r="F246" s="53">
        <v>0</v>
      </c>
      <c r="G246" s="776">
        <f t="shared" si="72"/>
        <v>2.5750652870355757</v>
      </c>
      <c r="H246" s="519">
        <f t="shared" si="73"/>
        <v>12.875326435177879</v>
      </c>
      <c r="I246" s="53"/>
      <c r="J246" s="776">
        <f t="shared" si="74"/>
        <v>0.77251958611067262</v>
      </c>
      <c r="K246" s="1212">
        <f>'Recycling - Case 3'!Z166</f>
        <v>3957.8175022111564</v>
      </c>
      <c r="L246" s="1211">
        <f t="shared" si="79"/>
        <v>0.5</v>
      </c>
      <c r="M246" s="1211">
        <f t="shared" si="79"/>
        <v>0.5</v>
      </c>
      <c r="N246" s="53">
        <f t="shared" si="77"/>
        <v>0</v>
      </c>
      <c r="O246" s="53">
        <f t="shared" si="77"/>
        <v>0</v>
      </c>
      <c r="P246" s="776">
        <f t="shared" si="67"/>
        <v>1.5831270008844627</v>
      </c>
      <c r="Q246" s="519">
        <f t="shared" si="68"/>
        <v>7.9156350044223123</v>
      </c>
      <c r="R246" s="53"/>
      <c r="S246" s="1213">
        <f t="shared" si="69"/>
        <v>0.47493810026533873</v>
      </c>
      <c r="T246" s="1200">
        <f t="shared" si="70"/>
        <v>4.1581922879200386</v>
      </c>
      <c r="U246" s="1201">
        <f t="shared" si="70"/>
        <v>20.790961439600192</v>
      </c>
      <c r="V246" s="1201">
        <f t="shared" si="70"/>
        <v>0</v>
      </c>
      <c r="W246" s="1202">
        <f t="shared" si="70"/>
        <v>1.2474576863760114</v>
      </c>
    </row>
    <row r="247" spans="1:23">
      <c r="A247" s="123">
        <f>'Input data'!A147</f>
        <v>2047</v>
      </c>
      <c r="B247" s="1210">
        <f>'Recycling - Case 3'!AI127</f>
        <v>6437.663217588939</v>
      </c>
      <c r="C247" s="1211">
        <f t="shared" si="78"/>
        <v>0.5</v>
      </c>
      <c r="D247" s="1211">
        <f t="shared" si="78"/>
        <v>0.5</v>
      </c>
      <c r="E247" s="53">
        <v>0</v>
      </c>
      <c r="F247" s="53">
        <v>0</v>
      </c>
      <c r="G247" s="776">
        <f t="shared" si="72"/>
        <v>2.5750652870355757</v>
      </c>
      <c r="H247" s="519">
        <f t="shared" si="73"/>
        <v>12.875326435177879</v>
      </c>
      <c r="I247" s="53"/>
      <c r="J247" s="776">
        <f t="shared" si="74"/>
        <v>0.77251958611067262</v>
      </c>
      <c r="K247" s="1212">
        <f>'Recycling - Case 3'!Z167</f>
        <v>4067.3652769905207</v>
      </c>
      <c r="L247" s="1211">
        <f t="shared" si="79"/>
        <v>0.5</v>
      </c>
      <c r="M247" s="1211">
        <f t="shared" si="79"/>
        <v>0.5</v>
      </c>
      <c r="N247" s="53">
        <f t="shared" si="77"/>
        <v>0</v>
      </c>
      <c r="O247" s="53">
        <f t="shared" si="77"/>
        <v>0</v>
      </c>
      <c r="P247" s="776">
        <f t="shared" si="67"/>
        <v>1.6269461107962084</v>
      </c>
      <c r="Q247" s="519">
        <f t="shared" si="68"/>
        <v>8.1347305539810417</v>
      </c>
      <c r="R247" s="53"/>
      <c r="S247" s="1213">
        <f t="shared" si="69"/>
        <v>0.48808383323886245</v>
      </c>
      <c r="T247" s="1200">
        <f t="shared" si="70"/>
        <v>4.2020113978317841</v>
      </c>
      <c r="U247" s="1201">
        <f t="shared" si="70"/>
        <v>21.010056989158919</v>
      </c>
      <c r="V247" s="1201">
        <f t="shared" si="70"/>
        <v>0</v>
      </c>
      <c r="W247" s="1202">
        <f t="shared" si="70"/>
        <v>1.260603419349535</v>
      </c>
    </row>
    <row r="248" spans="1:23">
      <c r="A248" s="123">
        <f>'Input data'!A148</f>
        <v>2048</v>
      </c>
      <c r="B248" s="1210">
        <f>'Recycling - Case 3'!AI128</f>
        <v>6437.663217588939</v>
      </c>
      <c r="C248" s="1211">
        <f t="shared" si="78"/>
        <v>0.5</v>
      </c>
      <c r="D248" s="1211">
        <f t="shared" si="78"/>
        <v>0.5</v>
      </c>
      <c r="E248" s="53">
        <v>0</v>
      </c>
      <c r="F248" s="53">
        <v>0</v>
      </c>
      <c r="G248" s="776">
        <f t="shared" si="72"/>
        <v>2.5750652870355757</v>
      </c>
      <c r="H248" s="519">
        <f t="shared" si="73"/>
        <v>12.875326435177879</v>
      </c>
      <c r="I248" s="53"/>
      <c r="J248" s="776">
        <f t="shared" si="74"/>
        <v>0.77251958611067262</v>
      </c>
      <c r="K248" s="1212">
        <f>'Recycling - Case 3'!Z168</f>
        <v>4178.1731580591822</v>
      </c>
      <c r="L248" s="1211">
        <f t="shared" si="79"/>
        <v>0.5</v>
      </c>
      <c r="M248" s="1211">
        <f t="shared" si="79"/>
        <v>0.5</v>
      </c>
      <c r="N248" s="53">
        <f t="shared" si="77"/>
        <v>0</v>
      </c>
      <c r="O248" s="53">
        <f t="shared" si="77"/>
        <v>0</v>
      </c>
      <c r="P248" s="776">
        <f t="shared" si="67"/>
        <v>1.671269263223673</v>
      </c>
      <c r="Q248" s="519">
        <f t="shared" si="68"/>
        <v>8.3563463161183638</v>
      </c>
      <c r="R248" s="53"/>
      <c r="S248" s="1213">
        <f t="shared" si="69"/>
        <v>0.50138077896710187</v>
      </c>
      <c r="T248" s="1200">
        <f t="shared" si="70"/>
        <v>4.2463345502592489</v>
      </c>
      <c r="U248" s="1201">
        <f t="shared" si="70"/>
        <v>21.231672751296244</v>
      </c>
      <c r="V248" s="1201">
        <f t="shared" si="70"/>
        <v>0</v>
      </c>
      <c r="W248" s="1202">
        <f t="shared" si="70"/>
        <v>1.2739003650777745</v>
      </c>
    </row>
    <row r="249" spans="1:23">
      <c r="A249" s="123">
        <f>'Input data'!A149</f>
        <v>2049</v>
      </c>
      <c r="B249" s="1210">
        <f>'Recycling - Case 3'!AI129</f>
        <v>6437.663217588939</v>
      </c>
      <c r="C249" s="1211">
        <f t="shared" si="78"/>
        <v>0.5</v>
      </c>
      <c r="D249" s="1211">
        <f t="shared" si="78"/>
        <v>0.5</v>
      </c>
      <c r="E249" s="53">
        <v>0</v>
      </c>
      <c r="F249" s="53">
        <v>0</v>
      </c>
      <c r="G249" s="776">
        <f t="shared" si="72"/>
        <v>2.5750652870355757</v>
      </c>
      <c r="H249" s="519">
        <f t="shared" si="73"/>
        <v>12.875326435177879</v>
      </c>
      <c r="I249" s="53"/>
      <c r="J249" s="776">
        <f t="shared" si="74"/>
        <v>0.77251958611067262</v>
      </c>
      <c r="K249" s="1212">
        <f>'Recycling - Case 3'!Z169</f>
        <v>4294.4451207098782</v>
      </c>
      <c r="L249" s="1211">
        <f t="shared" si="79"/>
        <v>0.5</v>
      </c>
      <c r="M249" s="1211">
        <f t="shared" si="79"/>
        <v>0.5</v>
      </c>
      <c r="N249" s="53">
        <f t="shared" si="77"/>
        <v>0</v>
      </c>
      <c r="O249" s="53">
        <f t="shared" si="77"/>
        <v>0</v>
      </c>
      <c r="P249" s="776">
        <f t="shared" si="67"/>
        <v>1.7177780482839515</v>
      </c>
      <c r="Q249" s="519">
        <f t="shared" si="68"/>
        <v>8.5888902414197563</v>
      </c>
      <c r="R249" s="53"/>
      <c r="S249" s="1213">
        <f t="shared" si="69"/>
        <v>0.51533341448518533</v>
      </c>
      <c r="T249" s="1200">
        <f t="shared" si="70"/>
        <v>4.2928433353195272</v>
      </c>
      <c r="U249" s="1201">
        <f t="shared" si="70"/>
        <v>21.464216676597637</v>
      </c>
      <c r="V249" s="1201">
        <f t="shared" si="70"/>
        <v>0</v>
      </c>
      <c r="W249" s="1202">
        <f t="shared" si="70"/>
        <v>1.2878530005958579</v>
      </c>
    </row>
    <row r="250" spans="1:23" ht="15" thickBot="1">
      <c r="A250" s="123">
        <f>'Input data'!A150</f>
        <v>2050</v>
      </c>
      <c r="B250" s="1210">
        <f>'Recycling - Case 3'!AI130</f>
        <v>6437.663217588939</v>
      </c>
      <c r="C250" s="576">
        <f t="shared" si="78"/>
        <v>0.5</v>
      </c>
      <c r="D250" s="576">
        <f t="shared" si="78"/>
        <v>0.5</v>
      </c>
      <c r="E250" s="58">
        <v>0</v>
      </c>
      <c r="F250" s="58">
        <v>0</v>
      </c>
      <c r="G250" s="1367">
        <f t="shared" si="72"/>
        <v>2.5750652870355757</v>
      </c>
      <c r="H250" s="1102">
        <f t="shared" si="73"/>
        <v>12.875326435177879</v>
      </c>
      <c r="I250" s="58"/>
      <c r="J250" s="1367">
        <f t="shared" si="74"/>
        <v>0.77251958611067262</v>
      </c>
      <c r="K250" s="1212">
        <f>'Recycling - Case 3'!Z170</f>
        <v>4416.6156843527096</v>
      </c>
      <c r="L250" s="578">
        <f t="shared" si="79"/>
        <v>0.5</v>
      </c>
      <c r="M250" s="578">
        <f t="shared" si="79"/>
        <v>0.5</v>
      </c>
      <c r="N250" s="1214">
        <f t="shared" ref="N250:O250" si="80">N112</f>
        <v>0</v>
      </c>
      <c r="O250" s="1214">
        <f t="shared" si="80"/>
        <v>0</v>
      </c>
      <c r="P250" s="1215">
        <f t="shared" si="67"/>
        <v>1.766646273741084</v>
      </c>
      <c r="Q250" s="1146">
        <f t="shared" si="68"/>
        <v>8.8332313687054196</v>
      </c>
      <c r="R250" s="1214"/>
      <c r="S250" s="1216">
        <f t="shared" si="69"/>
        <v>0.52999388212232512</v>
      </c>
      <c r="T250" s="1217">
        <f t="shared" si="70"/>
        <v>4.3417115607766599</v>
      </c>
      <c r="U250" s="1218">
        <f t="shared" si="70"/>
        <v>21.708557803883298</v>
      </c>
      <c r="V250" s="1218">
        <f t="shared" si="70"/>
        <v>0</v>
      </c>
      <c r="W250" s="1219">
        <f t="shared" si="70"/>
        <v>1.3025134682329977</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3707.5237846120858</v>
      </c>
      <c r="C252" s="576">
        <f>($C$256-$C$80)/($A$256-$A$80)+C80</f>
        <v>0.14000000000000001</v>
      </c>
      <c r="D252" s="576">
        <f>1-C252</f>
        <v>0.86</v>
      </c>
      <c r="E252" s="58">
        <v>0</v>
      </c>
      <c r="F252" s="58">
        <v>0</v>
      </c>
      <c r="G252" s="1367">
        <f>C252*$D$5*B252/1000-E252</f>
        <v>0.41524266387655367</v>
      </c>
      <c r="H252" s="1102">
        <f>D252*$D$4*B252/1000-F252</f>
        <v>12.753881819065574</v>
      </c>
      <c r="I252" s="58"/>
      <c r="J252" s="1213">
        <f>D252*$D$7*B252/1000</f>
        <v>0.76523290914393449</v>
      </c>
      <c r="K252" s="1366">
        <f>'Recycling - Case 3'!Z178</f>
        <v>1787.3285316252955</v>
      </c>
      <c r="L252" s="576">
        <f>($L$256-$L$80)/($A$256-$A$80)+L80</f>
        <v>0.18</v>
      </c>
      <c r="M252" s="576">
        <f>1-L252</f>
        <v>0.82000000000000006</v>
      </c>
      <c r="N252" s="58">
        <f t="shared" ref="N252:O267" si="81">N114</f>
        <v>0</v>
      </c>
      <c r="O252" s="58">
        <f t="shared" si="81"/>
        <v>0</v>
      </c>
      <c r="P252" s="1367">
        <f t="shared" ref="P252:P284" si="82">L252*$D$5*K252/1000-N252</f>
        <v>0.25737530855404256</v>
      </c>
      <c r="Q252" s="1102">
        <f t="shared" ref="Q252:Q284" si="83">M252*$D$4*K252/1000-O252</f>
        <v>5.8624375837309701</v>
      </c>
      <c r="R252" s="58"/>
      <c r="S252" s="1213">
        <f t="shared" ref="S252:S284" si="84">M252*$D$7*K252/1000</f>
        <v>0.35174625502385815</v>
      </c>
      <c r="T252" s="1200">
        <f t="shared" ref="T252:W284" si="85">G252+P252</f>
        <v>0.67261797243059629</v>
      </c>
      <c r="U252" s="1615">
        <f t="shared" si="85"/>
        <v>18.616319402796545</v>
      </c>
      <c r="V252" s="1615">
        <f t="shared" si="85"/>
        <v>0</v>
      </c>
      <c r="W252" s="1202">
        <f t="shared" si="85"/>
        <v>1.1169791641677926</v>
      </c>
    </row>
    <row r="253" spans="1:23">
      <c r="A253" s="466">
        <f>'Input data'!A119</f>
        <v>2019</v>
      </c>
      <c r="B253" s="1368">
        <f>'Recycling - Case 3'!AI99</f>
        <v>4010.8726104984025</v>
      </c>
      <c r="C253" s="576">
        <f>($C$256-$C$80)/($A$256-$A$80)+C252</f>
        <v>0.23</v>
      </c>
      <c r="D253" s="576">
        <f t="shared" ref="D253:D284" si="86">1-C253</f>
        <v>0.77</v>
      </c>
      <c r="E253" s="58">
        <v>0</v>
      </c>
      <c r="F253" s="58">
        <v>0</v>
      </c>
      <c r="G253" s="1367">
        <f t="shared" ref="G253:G284" si="87">C253*$D$5*B253/1000-E253</f>
        <v>0.73800056033170625</v>
      </c>
      <c r="H253" s="1102">
        <f t="shared" ref="H253:H284" si="88">D253*$D$4*B253/1000-F253</f>
        <v>12.35348764033508</v>
      </c>
      <c r="I253" s="58"/>
      <c r="J253" s="1213">
        <f t="shared" ref="J253:J284" si="89">D253*$D$7*B253/1000</f>
        <v>0.74120925842010477</v>
      </c>
      <c r="K253" s="1366">
        <f>'Recycling - Case 3'!Z179</f>
        <v>1877.2124191793723</v>
      </c>
      <c r="L253" s="576">
        <f>($L$256-$L$80)/($A$256-$A$80)+L252</f>
        <v>0.26</v>
      </c>
      <c r="M253" s="576">
        <f t="shared" ref="M253:M284" si="90">1-L253</f>
        <v>0.74</v>
      </c>
      <c r="N253" s="58">
        <f t="shared" si="81"/>
        <v>0</v>
      </c>
      <c r="O253" s="58">
        <f t="shared" si="81"/>
        <v>0</v>
      </c>
      <c r="P253" s="1367">
        <f t="shared" si="82"/>
        <v>0.39046018318930947</v>
      </c>
      <c r="Q253" s="1102">
        <f t="shared" si="83"/>
        <v>5.5565487607709416</v>
      </c>
      <c r="R253" s="58"/>
      <c r="S253" s="1213">
        <f t="shared" si="84"/>
        <v>0.33339292564625644</v>
      </c>
      <c r="T253" s="1200">
        <f t="shared" si="85"/>
        <v>1.1284607435210157</v>
      </c>
      <c r="U253" s="1615">
        <f t="shared" si="85"/>
        <v>17.910036401106023</v>
      </c>
      <c r="V253" s="1615">
        <f t="shared" si="85"/>
        <v>0</v>
      </c>
      <c r="W253" s="1202">
        <f t="shared" si="85"/>
        <v>1.0746021840663613</v>
      </c>
    </row>
    <row r="254" spans="1:23">
      <c r="A254" s="466">
        <f>'Input data'!A120</f>
        <v>2020</v>
      </c>
      <c r="B254" s="1368">
        <f>'Recycling - Case 3'!AI100</f>
        <v>4617.5702622710369</v>
      </c>
      <c r="C254" s="576">
        <f t="shared" ref="C254:C255" si="91">($C$256-$C$80)/($A$256-$A$80)+C253</f>
        <v>0.32</v>
      </c>
      <c r="D254" s="576">
        <f t="shared" si="86"/>
        <v>0.67999999999999994</v>
      </c>
      <c r="E254" s="58">
        <v>0</v>
      </c>
      <c r="F254" s="58">
        <v>0</v>
      </c>
      <c r="G254" s="1367">
        <f t="shared" si="87"/>
        <v>1.1820979871413855</v>
      </c>
      <c r="H254" s="1102">
        <f t="shared" si="88"/>
        <v>12.559791113377219</v>
      </c>
      <c r="I254" s="58"/>
      <c r="J254" s="1213">
        <f t="shared" si="89"/>
        <v>0.75358746680263311</v>
      </c>
      <c r="K254" s="1366">
        <f>'Recycling - Case 3'!Z180</f>
        <v>1902.4705235478471</v>
      </c>
      <c r="L254" s="576">
        <f t="shared" ref="L254:L255" si="92">($L$256-$L$80)/($A$256-$A$80)+L253</f>
        <v>0.34</v>
      </c>
      <c r="M254" s="576">
        <f t="shared" si="90"/>
        <v>0.65999999999999992</v>
      </c>
      <c r="N254" s="58">
        <f t="shared" si="81"/>
        <v>0</v>
      </c>
      <c r="O254" s="58">
        <f t="shared" si="81"/>
        <v>0</v>
      </c>
      <c r="P254" s="1367">
        <f t="shared" si="82"/>
        <v>0.51747198240501435</v>
      </c>
      <c r="Q254" s="1102">
        <f t="shared" si="83"/>
        <v>5.0225221821663153</v>
      </c>
      <c r="R254" s="58"/>
      <c r="S254" s="1213">
        <f t="shared" si="84"/>
        <v>0.30135133092997896</v>
      </c>
      <c r="T254" s="1200">
        <f t="shared" si="85"/>
        <v>1.6995699695463999</v>
      </c>
      <c r="U254" s="1615">
        <f t="shared" si="85"/>
        <v>17.582313295543536</v>
      </c>
      <c r="V254" s="1615">
        <f t="shared" si="85"/>
        <v>0</v>
      </c>
      <c r="W254" s="1202">
        <f t="shared" si="85"/>
        <v>1.0549387977326121</v>
      </c>
    </row>
    <row r="255" spans="1:23">
      <c r="A255" s="466">
        <f>'Input data'!A121</f>
        <v>2021</v>
      </c>
      <c r="B255" s="1368">
        <f>'Recycling - Case 3'!AI101</f>
        <v>5830.9655658163047</v>
      </c>
      <c r="C255" s="576">
        <f t="shared" si="91"/>
        <v>0.41000000000000003</v>
      </c>
      <c r="D255" s="576">
        <f t="shared" si="86"/>
        <v>0.59</v>
      </c>
      <c r="E255" s="58">
        <v>0</v>
      </c>
      <c r="F255" s="58">
        <v>0</v>
      </c>
      <c r="G255" s="1367">
        <f t="shared" si="87"/>
        <v>1.9125567055877484</v>
      </c>
      <c r="H255" s="1102">
        <f t="shared" si="88"/>
        <v>13.761078735326478</v>
      </c>
      <c r="I255" s="58"/>
      <c r="J255" s="1213">
        <f t="shared" si="89"/>
        <v>0.82566472411958869</v>
      </c>
      <c r="K255" s="1366">
        <f>'Recycling - Case 3'!Z181</f>
        <v>2238.7918742794518</v>
      </c>
      <c r="L255" s="576">
        <f t="shared" si="92"/>
        <v>0.42000000000000004</v>
      </c>
      <c r="M255" s="576">
        <f t="shared" si="90"/>
        <v>0.57999999999999996</v>
      </c>
      <c r="N255" s="58">
        <f t="shared" si="81"/>
        <v>0</v>
      </c>
      <c r="O255" s="58">
        <f t="shared" si="81"/>
        <v>0</v>
      </c>
      <c r="P255" s="1367">
        <f t="shared" si="82"/>
        <v>0.75223406975789597</v>
      </c>
      <c r="Q255" s="1102">
        <f t="shared" si="83"/>
        <v>5.1939971483283278</v>
      </c>
      <c r="R255" s="58"/>
      <c r="S255" s="1213">
        <f t="shared" si="84"/>
        <v>0.31163982889969971</v>
      </c>
      <c r="T255" s="1200">
        <f t="shared" si="85"/>
        <v>2.6647907753456446</v>
      </c>
      <c r="U255" s="1615">
        <f t="shared" si="85"/>
        <v>18.955075883654807</v>
      </c>
      <c r="V255" s="1615">
        <f t="shared" si="85"/>
        <v>0</v>
      </c>
      <c r="W255" s="1202">
        <f t="shared" si="85"/>
        <v>1.1373045530192885</v>
      </c>
    </row>
    <row r="256" spans="1:23">
      <c r="A256" s="466">
        <f>'Input data'!A122</f>
        <v>2022</v>
      </c>
      <c r="B256" s="1368">
        <f>'Recycling - Case 3'!AI102</f>
        <v>6437.663217588939</v>
      </c>
      <c r="C256" s="576">
        <f>'Recycling - Case 3'!G31</f>
        <v>0.5</v>
      </c>
      <c r="D256" s="576">
        <f t="shared" si="86"/>
        <v>0.5</v>
      </c>
      <c r="E256" s="58">
        <v>0</v>
      </c>
      <c r="F256" s="58">
        <v>0</v>
      </c>
      <c r="G256" s="1367">
        <f t="shared" si="87"/>
        <v>2.5750652870355757</v>
      </c>
      <c r="H256" s="1102">
        <f t="shared" si="88"/>
        <v>12.875326435177879</v>
      </c>
      <c r="I256" s="58"/>
      <c r="J256" s="1213">
        <f t="shared" si="89"/>
        <v>0.77251958611067262</v>
      </c>
      <c r="K256" s="1366">
        <f>'Recycling - Case 3'!Z182</f>
        <v>2423.2959109577191</v>
      </c>
      <c r="L256" s="576">
        <f>'Recycling - Case 3'!G31</f>
        <v>0.5</v>
      </c>
      <c r="M256" s="576">
        <f t="shared" si="90"/>
        <v>0.5</v>
      </c>
      <c r="N256" s="58">
        <f t="shared" si="81"/>
        <v>0</v>
      </c>
      <c r="O256" s="58">
        <f t="shared" si="81"/>
        <v>0</v>
      </c>
      <c r="P256" s="1367">
        <f t="shared" si="82"/>
        <v>0.96931836438308772</v>
      </c>
      <c r="Q256" s="1102">
        <f t="shared" si="83"/>
        <v>4.846591821915438</v>
      </c>
      <c r="R256" s="58"/>
      <c r="S256" s="1213">
        <f t="shared" si="84"/>
        <v>0.29079550931492626</v>
      </c>
      <c r="T256" s="1200">
        <f t="shared" si="85"/>
        <v>3.5443836514186633</v>
      </c>
      <c r="U256" s="1615">
        <f t="shared" si="85"/>
        <v>17.721918257093318</v>
      </c>
      <c r="V256" s="1615">
        <f t="shared" si="85"/>
        <v>0</v>
      </c>
      <c r="W256" s="1202">
        <f t="shared" si="85"/>
        <v>1.0633150954255988</v>
      </c>
    </row>
    <row r="257" spans="1:23">
      <c r="A257" s="466">
        <f>'Input data'!A123</f>
        <v>2023</v>
      </c>
      <c r="B257" s="1368">
        <f>'Recycling - Case 3'!AI103</f>
        <v>6437.663217588939</v>
      </c>
      <c r="C257" s="576">
        <f>C256</f>
        <v>0.5</v>
      </c>
      <c r="D257" s="576">
        <f t="shared" si="86"/>
        <v>0.5</v>
      </c>
      <c r="E257" s="58">
        <v>0</v>
      </c>
      <c r="F257" s="58">
        <v>0</v>
      </c>
      <c r="G257" s="1367">
        <f t="shared" si="87"/>
        <v>2.5750652870355757</v>
      </c>
      <c r="H257" s="1102">
        <f t="shared" si="88"/>
        <v>12.875326435177879</v>
      </c>
      <c r="I257" s="58"/>
      <c r="J257" s="1213">
        <f t="shared" si="89"/>
        <v>0.77251958611067262</v>
      </c>
      <c r="K257" s="1366">
        <f>'Recycling - Case 3'!Z183</f>
        <v>2457.7370057009366</v>
      </c>
      <c r="L257" s="576">
        <f>L256</f>
        <v>0.5</v>
      </c>
      <c r="M257" s="576">
        <f t="shared" si="90"/>
        <v>0.5</v>
      </c>
      <c r="N257" s="58">
        <f t="shared" si="81"/>
        <v>0</v>
      </c>
      <c r="O257" s="58">
        <f t="shared" si="81"/>
        <v>0</v>
      </c>
      <c r="P257" s="1367">
        <f t="shared" si="82"/>
        <v>0.98309480228037471</v>
      </c>
      <c r="Q257" s="1102">
        <f t="shared" si="83"/>
        <v>4.9154740114018729</v>
      </c>
      <c r="R257" s="58"/>
      <c r="S257" s="1213">
        <f t="shared" si="84"/>
        <v>0.29492844068411239</v>
      </c>
      <c r="T257" s="1200">
        <f t="shared" si="85"/>
        <v>3.5581600893159502</v>
      </c>
      <c r="U257" s="1615">
        <f t="shared" si="85"/>
        <v>17.790800446579752</v>
      </c>
      <c r="V257" s="1615">
        <f t="shared" si="85"/>
        <v>0</v>
      </c>
      <c r="W257" s="1202">
        <f t="shared" si="85"/>
        <v>1.067448026794785</v>
      </c>
    </row>
    <row r="258" spans="1:23">
      <c r="A258" s="466">
        <f>'Input data'!A124</f>
        <v>2024</v>
      </c>
      <c r="B258" s="1368">
        <f>'Recycling - Case 3'!AI104</f>
        <v>6437.663217588939</v>
      </c>
      <c r="C258" s="576">
        <f t="shared" ref="C258:C284" si="93">C257</f>
        <v>0.5</v>
      </c>
      <c r="D258" s="576">
        <f t="shared" si="86"/>
        <v>0.5</v>
      </c>
      <c r="E258" s="58">
        <v>0</v>
      </c>
      <c r="F258" s="58">
        <v>0</v>
      </c>
      <c r="G258" s="1367">
        <f t="shared" si="87"/>
        <v>2.5750652870355757</v>
      </c>
      <c r="H258" s="1102">
        <f t="shared" si="88"/>
        <v>12.875326435177879</v>
      </c>
      <c r="I258" s="58"/>
      <c r="J258" s="1213">
        <f t="shared" si="89"/>
        <v>0.77251958611067262</v>
      </c>
      <c r="K258" s="1366">
        <f>'Recycling - Case 3'!Z184</f>
        <v>2490.9560146032422</v>
      </c>
      <c r="L258" s="576">
        <f t="shared" ref="L258:L284" si="94">L257</f>
        <v>0.5</v>
      </c>
      <c r="M258" s="576">
        <f t="shared" si="90"/>
        <v>0.5</v>
      </c>
      <c r="N258" s="58">
        <f t="shared" si="81"/>
        <v>0</v>
      </c>
      <c r="O258" s="58">
        <f t="shared" si="81"/>
        <v>0</v>
      </c>
      <c r="P258" s="1367">
        <f t="shared" si="82"/>
        <v>0.996382405841297</v>
      </c>
      <c r="Q258" s="1102">
        <f t="shared" si="83"/>
        <v>4.9819120292064847</v>
      </c>
      <c r="R258" s="58"/>
      <c r="S258" s="1213">
        <f t="shared" si="84"/>
        <v>0.29891472175238909</v>
      </c>
      <c r="T258" s="1200">
        <f t="shared" si="85"/>
        <v>3.5714476928768728</v>
      </c>
      <c r="U258" s="1615">
        <f t="shared" si="85"/>
        <v>17.857238464384363</v>
      </c>
      <c r="V258" s="1615">
        <f t="shared" si="85"/>
        <v>0</v>
      </c>
      <c r="W258" s="1202">
        <f t="shared" si="85"/>
        <v>1.0714343078630617</v>
      </c>
    </row>
    <row r="259" spans="1:23">
      <c r="A259" s="466">
        <f>'Input data'!A125</f>
        <v>2025</v>
      </c>
      <c r="B259" s="1368">
        <f>'Recycling - Case 3'!AI105</f>
        <v>6437.663217588939</v>
      </c>
      <c r="C259" s="576">
        <f t="shared" si="93"/>
        <v>0.5</v>
      </c>
      <c r="D259" s="576">
        <f t="shared" si="86"/>
        <v>0.5</v>
      </c>
      <c r="E259" s="58">
        <v>0</v>
      </c>
      <c r="F259" s="58">
        <v>0</v>
      </c>
      <c r="G259" s="1367">
        <f t="shared" si="87"/>
        <v>2.5750652870355757</v>
      </c>
      <c r="H259" s="1102">
        <f t="shared" si="88"/>
        <v>12.875326435177879</v>
      </c>
      <c r="I259" s="58"/>
      <c r="J259" s="1213">
        <f t="shared" si="89"/>
        <v>0.77251958611067262</v>
      </c>
      <c r="K259" s="1366">
        <f>'Recycling - Case 3'!Z185</f>
        <v>2525.5926430810055</v>
      </c>
      <c r="L259" s="576">
        <f t="shared" si="94"/>
        <v>0.5</v>
      </c>
      <c r="M259" s="576">
        <f t="shared" si="90"/>
        <v>0.5</v>
      </c>
      <c r="N259" s="58">
        <f t="shared" si="81"/>
        <v>0</v>
      </c>
      <c r="O259" s="58">
        <f t="shared" si="81"/>
        <v>0</v>
      </c>
      <c r="P259" s="1367">
        <f t="shared" si="82"/>
        <v>1.0102370572324022</v>
      </c>
      <c r="Q259" s="1102">
        <f t="shared" si="83"/>
        <v>5.0511852861620108</v>
      </c>
      <c r="R259" s="58"/>
      <c r="S259" s="1213">
        <f t="shared" si="84"/>
        <v>0.30307111716972063</v>
      </c>
      <c r="T259" s="1200">
        <f t="shared" si="85"/>
        <v>3.5853023442679781</v>
      </c>
      <c r="U259" s="1615">
        <f t="shared" si="85"/>
        <v>17.926511721339889</v>
      </c>
      <c r="V259" s="1615">
        <f t="shared" si="85"/>
        <v>0</v>
      </c>
      <c r="W259" s="1202">
        <f t="shared" si="85"/>
        <v>1.0755907032803933</v>
      </c>
    </row>
    <row r="260" spans="1:23">
      <c r="A260" s="466">
        <f>'Input data'!A126</f>
        <v>2026</v>
      </c>
      <c r="B260" s="1368">
        <f>'Recycling - Case 3'!AI106</f>
        <v>6437.663217588939</v>
      </c>
      <c r="C260" s="576">
        <f t="shared" si="93"/>
        <v>0.5</v>
      </c>
      <c r="D260" s="576">
        <f t="shared" si="86"/>
        <v>0.5</v>
      </c>
      <c r="E260" s="58">
        <v>0</v>
      </c>
      <c r="F260" s="58">
        <v>0</v>
      </c>
      <c r="G260" s="1367">
        <f t="shared" si="87"/>
        <v>2.5750652870355757</v>
      </c>
      <c r="H260" s="1102">
        <f t="shared" si="88"/>
        <v>12.875326435177879</v>
      </c>
      <c r="I260" s="58"/>
      <c r="J260" s="1213">
        <f t="shared" si="89"/>
        <v>0.77251958611067262</v>
      </c>
      <c r="K260" s="1366">
        <f>'Recycling - Case 3'!Z186</f>
        <v>2566.7307682324217</v>
      </c>
      <c r="L260" s="576">
        <f t="shared" si="94"/>
        <v>0.5</v>
      </c>
      <c r="M260" s="576">
        <f t="shared" si="90"/>
        <v>0.5</v>
      </c>
      <c r="N260" s="58">
        <f t="shared" si="81"/>
        <v>0</v>
      </c>
      <c r="O260" s="58">
        <f t="shared" si="81"/>
        <v>0</v>
      </c>
      <c r="P260" s="1367">
        <f t="shared" si="82"/>
        <v>1.0266923072929688</v>
      </c>
      <c r="Q260" s="1102">
        <f t="shared" si="83"/>
        <v>5.1334615364648437</v>
      </c>
      <c r="R260" s="58"/>
      <c r="S260" s="1213">
        <f t="shared" si="84"/>
        <v>0.30800769218789059</v>
      </c>
      <c r="T260" s="1200">
        <f t="shared" si="85"/>
        <v>3.6017575943285447</v>
      </c>
      <c r="U260" s="1615">
        <f t="shared" si="85"/>
        <v>18.008787971642722</v>
      </c>
      <c r="V260" s="1615">
        <f t="shared" si="85"/>
        <v>0</v>
      </c>
      <c r="W260" s="1202">
        <f t="shared" si="85"/>
        <v>1.0805272782985633</v>
      </c>
    </row>
    <row r="261" spans="1:23">
      <c r="A261" s="466">
        <f>'Input data'!A127</f>
        <v>2027</v>
      </c>
      <c r="B261" s="1368">
        <f>'Recycling - Case 3'!AI107</f>
        <v>6437.663217588939</v>
      </c>
      <c r="C261" s="576">
        <f t="shared" si="93"/>
        <v>0.5</v>
      </c>
      <c r="D261" s="576">
        <f t="shared" si="86"/>
        <v>0.5</v>
      </c>
      <c r="E261" s="58">
        <v>0</v>
      </c>
      <c r="F261" s="58">
        <v>0</v>
      </c>
      <c r="G261" s="1367">
        <f t="shared" si="87"/>
        <v>2.5750652870355757</v>
      </c>
      <c r="H261" s="1102">
        <f t="shared" si="88"/>
        <v>12.875326435177879</v>
      </c>
      <c r="I261" s="58"/>
      <c r="J261" s="1213">
        <f t="shared" si="89"/>
        <v>0.77251958611067262</v>
      </c>
      <c r="K261" s="1366">
        <f>'Recycling - Case 3'!Z187</f>
        <v>2607.4669629294931</v>
      </c>
      <c r="L261" s="576">
        <f t="shared" si="94"/>
        <v>0.5</v>
      </c>
      <c r="M261" s="576">
        <f t="shared" si="90"/>
        <v>0.5</v>
      </c>
      <c r="N261" s="58">
        <f t="shared" si="81"/>
        <v>0</v>
      </c>
      <c r="O261" s="58">
        <f t="shared" si="81"/>
        <v>0</v>
      </c>
      <c r="P261" s="1367">
        <f t="shared" si="82"/>
        <v>1.0429867851717973</v>
      </c>
      <c r="Q261" s="1102">
        <f t="shared" si="83"/>
        <v>5.2149339258589862</v>
      </c>
      <c r="R261" s="58"/>
      <c r="S261" s="1213">
        <f t="shared" si="84"/>
        <v>0.31289603555153916</v>
      </c>
      <c r="T261" s="1200">
        <f t="shared" si="85"/>
        <v>3.618052072207373</v>
      </c>
      <c r="U261" s="1615">
        <f t="shared" si="85"/>
        <v>18.090260361036865</v>
      </c>
      <c r="V261" s="1615">
        <f t="shared" si="85"/>
        <v>0</v>
      </c>
      <c r="W261" s="1202">
        <f t="shared" si="85"/>
        <v>1.0854156216622117</v>
      </c>
    </row>
    <row r="262" spans="1:23">
      <c r="A262" s="466">
        <f>'Input data'!A128</f>
        <v>2028</v>
      </c>
      <c r="B262" s="1368">
        <f>'Recycling - Case 3'!AI108</f>
        <v>6437.663217588939</v>
      </c>
      <c r="C262" s="576">
        <f t="shared" si="93"/>
        <v>0.5</v>
      </c>
      <c r="D262" s="576">
        <f t="shared" si="86"/>
        <v>0.5</v>
      </c>
      <c r="E262" s="58">
        <v>0</v>
      </c>
      <c r="F262" s="58">
        <v>0</v>
      </c>
      <c r="G262" s="1367">
        <f t="shared" si="87"/>
        <v>2.5750652870355757</v>
      </c>
      <c r="H262" s="1102">
        <f t="shared" si="88"/>
        <v>12.875326435177879</v>
      </c>
      <c r="I262" s="58"/>
      <c r="J262" s="1213">
        <f t="shared" si="89"/>
        <v>0.77251958611067262</v>
      </c>
      <c r="K262" s="1366">
        <f>'Recycling - Case 3'!Z188</f>
        <v>2650.1584949720245</v>
      </c>
      <c r="L262" s="576">
        <f t="shared" si="94"/>
        <v>0.5</v>
      </c>
      <c r="M262" s="576">
        <f t="shared" si="90"/>
        <v>0.5</v>
      </c>
      <c r="N262" s="58">
        <f t="shared" si="81"/>
        <v>0</v>
      </c>
      <c r="O262" s="58">
        <f t="shared" si="81"/>
        <v>0</v>
      </c>
      <c r="P262" s="1367">
        <f t="shared" si="82"/>
        <v>1.0600633979888099</v>
      </c>
      <c r="Q262" s="1102">
        <f t="shared" si="83"/>
        <v>5.300316989944049</v>
      </c>
      <c r="R262" s="58"/>
      <c r="S262" s="1213">
        <f t="shared" si="84"/>
        <v>0.31801901939664295</v>
      </c>
      <c r="T262" s="1200">
        <f t="shared" si="85"/>
        <v>3.6351286850243856</v>
      </c>
      <c r="U262" s="1615">
        <f t="shared" si="85"/>
        <v>18.175643425121926</v>
      </c>
      <c r="V262" s="1615">
        <f t="shared" si="85"/>
        <v>0</v>
      </c>
      <c r="W262" s="1202">
        <f t="shared" si="85"/>
        <v>1.0905386055073156</v>
      </c>
    </row>
    <row r="263" spans="1:23">
      <c r="A263" s="466">
        <f>'Input data'!A129</f>
        <v>2029</v>
      </c>
      <c r="B263" s="1368">
        <f>'Recycling - Case 3'!AI109</f>
        <v>6437.663217588939</v>
      </c>
      <c r="C263" s="576">
        <f t="shared" si="93"/>
        <v>0.5</v>
      </c>
      <c r="D263" s="576">
        <f t="shared" si="86"/>
        <v>0.5</v>
      </c>
      <c r="E263" s="58">
        <v>0</v>
      </c>
      <c r="F263" s="58">
        <v>0</v>
      </c>
      <c r="G263" s="1367">
        <f t="shared" si="87"/>
        <v>2.5750652870355757</v>
      </c>
      <c r="H263" s="1102">
        <f t="shared" si="88"/>
        <v>12.875326435177879</v>
      </c>
      <c r="I263" s="58"/>
      <c r="J263" s="1213">
        <f t="shared" si="89"/>
        <v>0.77251958611067262</v>
      </c>
      <c r="K263" s="1366">
        <f>'Recycling - Case 3'!Z189</f>
        <v>2694.2622150973871</v>
      </c>
      <c r="L263" s="576">
        <f t="shared" si="94"/>
        <v>0.5</v>
      </c>
      <c r="M263" s="576">
        <f t="shared" si="90"/>
        <v>0.5</v>
      </c>
      <c r="N263" s="58">
        <f t="shared" si="81"/>
        <v>0</v>
      </c>
      <c r="O263" s="58">
        <f t="shared" si="81"/>
        <v>0</v>
      </c>
      <c r="P263" s="1367">
        <f t="shared" si="82"/>
        <v>1.0777048860389549</v>
      </c>
      <c r="Q263" s="1102">
        <f t="shared" si="83"/>
        <v>5.3885244301947743</v>
      </c>
      <c r="R263" s="58"/>
      <c r="S263" s="1213">
        <f t="shared" si="84"/>
        <v>0.32331146581168646</v>
      </c>
      <c r="T263" s="1200">
        <f t="shared" si="85"/>
        <v>3.6527701730745306</v>
      </c>
      <c r="U263" s="1615">
        <f t="shared" si="85"/>
        <v>18.263850865372653</v>
      </c>
      <c r="V263" s="1615">
        <f t="shared" si="85"/>
        <v>0</v>
      </c>
      <c r="W263" s="1202">
        <f t="shared" si="85"/>
        <v>1.0958310519223591</v>
      </c>
    </row>
    <row r="264" spans="1:23">
      <c r="A264" s="466">
        <f>'Input data'!A130</f>
        <v>2030</v>
      </c>
      <c r="B264" s="1368">
        <f>'Recycling - Case 3'!AI110</f>
        <v>6437.663217588939</v>
      </c>
      <c r="C264" s="576">
        <f t="shared" si="93"/>
        <v>0.5</v>
      </c>
      <c r="D264" s="576">
        <f t="shared" si="86"/>
        <v>0.5</v>
      </c>
      <c r="E264" s="58">
        <v>0</v>
      </c>
      <c r="F264" s="58">
        <v>0</v>
      </c>
      <c r="G264" s="1367">
        <f t="shared" si="87"/>
        <v>2.5750652870355757</v>
      </c>
      <c r="H264" s="1102">
        <f t="shared" si="88"/>
        <v>12.875326435177879</v>
      </c>
      <c r="I264" s="58"/>
      <c r="J264" s="1213">
        <f t="shared" si="89"/>
        <v>0.77251958611067262</v>
      </c>
      <c r="K264" s="1366">
        <f>'Recycling - Case 3'!Z190</f>
        <v>2739.9084791286127</v>
      </c>
      <c r="L264" s="576">
        <f t="shared" si="94"/>
        <v>0.5</v>
      </c>
      <c r="M264" s="576">
        <f t="shared" si="90"/>
        <v>0.5</v>
      </c>
      <c r="N264" s="58">
        <f t="shared" si="81"/>
        <v>0</v>
      </c>
      <c r="O264" s="58">
        <f t="shared" si="81"/>
        <v>0</v>
      </c>
      <c r="P264" s="1367">
        <f t="shared" si="82"/>
        <v>1.0959633916514451</v>
      </c>
      <c r="Q264" s="1102">
        <f t="shared" si="83"/>
        <v>5.4798169582572251</v>
      </c>
      <c r="R264" s="58"/>
      <c r="S264" s="1213">
        <f t="shared" si="84"/>
        <v>0.32878901749543354</v>
      </c>
      <c r="T264" s="1200">
        <f t="shared" si="85"/>
        <v>3.671028678687021</v>
      </c>
      <c r="U264" s="1615">
        <f t="shared" si="85"/>
        <v>18.355143393435103</v>
      </c>
      <c r="V264" s="1615">
        <f t="shared" si="85"/>
        <v>0</v>
      </c>
      <c r="W264" s="1202">
        <f t="shared" si="85"/>
        <v>1.1013086036061062</v>
      </c>
    </row>
    <row r="265" spans="1:23">
      <c r="A265" s="466">
        <f>'Input data'!A131</f>
        <v>2031</v>
      </c>
      <c r="B265" s="1368">
        <f>'Recycling - Case 3'!AI111</f>
        <v>6437.663217588939</v>
      </c>
      <c r="C265" s="576">
        <f t="shared" si="93"/>
        <v>0.5</v>
      </c>
      <c r="D265" s="576">
        <f t="shared" si="86"/>
        <v>0.5</v>
      </c>
      <c r="E265" s="58">
        <v>0</v>
      </c>
      <c r="F265" s="58">
        <v>0</v>
      </c>
      <c r="G265" s="1367">
        <f t="shared" si="87"/>
        <v>2.5750652870355757</v>
      </c>
      <c r="H265" s="1102">
        <f t="shared" si="88"/>
        <v>12.875326435177879</v>
      </c>
      <c r="I265" s="58"/>
      <c r="J265" s="1213">
        <f t="shared" si="89"/>
        <v>0.77251958611067262</v>
      </c>
      <c r="K265" s="1366">
        <f>'Recycling - Case 3'!Z191</f>
        <v>2794.7176712203664</v>
      </c>
      <c r="L265" s="576">
        <f t="shared" si="94"/>
        <v>0.5</v>
      </c>
      <c r="M265" s="576">
        <f t="shared" si="90"/>
        <v>0.5</v>
      </c>
      <c r="N265" s="58">
        <f t="shared" si="81"/>
        <v>0</v>
      </c>
      <c r="O265" s="58">
        <f t="shared" si="81"/>
        <v>0</v>
      </c>
      <c r="P265" s="1367">
        <f t="shared" si="82"/>
        <v>1.1178870684881466</v>
      </c>
      <c r="Q265" s="1102">
        <f t="shared" si="83"/>
        <v>5.5894353424407326</v>
      </c>
      <c r="R265" s="58"/>
      <c r="S265" s="1213">
        <f t="shared" si="84"/>
        <v>0.33536612054644394</v>
      </c>
      <c r="T265" s="1200">
        <f t="shared" si="85"/>
        <v>3.6929523555237225</v>
      </c>
      <c r="U265" s="1615">
        <f t="shared" si="85"/>
        <v>18.464761777618612</v>
      </c>
      <c r="V265" s="1615">
        <f t="shared" si="85"/>
        <v>0</v>
      </c>
      <c r="W265" s="1202">
        <f t="shared" si="85"/>
        <v>1.1078857066571166</v>
      </c>
    </row>
    <row r="266" spans="1:23">
      <c r="A266" s="466">
        <f>'Input data'!A132</f>
        <v>2032</v>
      </c>
      <c r="B266" s="1368">
        <f>'Recycling - Case 3'!AI112</f>
        <v>6437.663217588939</v>
      </c>
      <c r="C266" s="576">
        <f t="shared" si="93"/>
        <v>0.5</v>
      </c>
      <c r="D266" s="576">
        <f t="shared" si="86"/>
        <v>0.5</v>
      </c>
      <c r="E266" s="58">
        <v>0</v>
      </c>
      <c r="F266" s="58">
        <v>0</v>
      </c>
      <c r="G266" s="1367">
        <f t="shared" si="87"/>
        <v>2.5750652870355757</v>
      </c>
      <c r="H266" s="1102">
        <f t="shared" si="88"/>
        <v>12.875326435177879</v>
      </c>
      <c r="I266" s="58"/>
      <c r="J266" s="1213">
        <f t="shared" si="89"/>
        <v>0.77251958611067262</v>
      </c>
      <c r="K266" s="1366">
        <f>'Recycling - Case 3'!Z192</f>
        <v>2846.9523358072647</v>
      </c>
      <c r="L266" s="576">
        <f t="shared" si="94"/>
        <v>0.5</v>
      </c>
      <c r="M266" s="576">
        <f t="shared" si="90"/>
        <v>0.5</v>
      </c>
      <c r="N266" s="58">
        <f t="shared" si="81"/>
        <v>0</v>
      </c>
      <c r="O266" s="58">
        <f t="shared" si="81"/>
        <v>0</v>
      </c>
      <c r="P266" s="1367">
        <f t="shared" si="82"/>
        <v>1.1387809343229061</v>
      </c>
      <c r="Q266" s="1102">
        <f t="shared" si="83"/>
        <v>5.6939046716145292</v>
      </c>
      <c r="R266" s="58"/>
      <c r="S266" s="1213">
        <f t="shared" si="84"/>
        <v>0.34163428029687176</v>
      </c>
      <c r="T266" s="1200">
        <f t="shared" si="85"/>
        <v>3.713846221358482</v>
      </c>
      <c r="U266" s="1615">
        <f t="shared" si="85"/>
        <v>18.569231106792408</v>
      </c>
      <c r="V266" s="1615">
        <f t="shared" si="85"/>
        <v>0</v>
      </c>
      <c r="W266" s="1202">
        <f t="shared" si="85"/>
        <v>1.1141538664075443</v>
      </c>
    </row>
    <row r="267" spans="1:23">
      <c r="A267" s="466">
        <f>'Input data'!A133</f>
        <v>2033</v>
      </c>
      <c r="B267" s="1368">
        <f>'Recycling - Case 3'!AI113</f>
        <v>6437.663217588939</v>
      </c>
      <c r="C267" s="576">
        <f t="shared" si="93"/>
        <v>0.5</v>
      </c>
      <c r="D267" s="576">
        <f t="shared" si="86"/>
        <v>0.5</v>
      </c>
      <c r="E267" s="58">
        <v>0</v>
      </c>
      <c r="F267" s="58">
        <v>0</v>
      </c>
      <c r="G267" s="1367">
        <f t="shared" si="87"/>
        <v>2.5750652870355757</v>
      </c>
      <c r="H267" s="1102">
        <f t="shared" si="88"/>
        <v>12.875326435177879</v>
      </c>
      <c r="I267" s="58"/>
      <c r="J267" s="1213">
        <f t="shared" si="89"/>
        <v>0.77251958611067262</v>
      </c>
      <c r="K267" s="1366">
        <f>'Recycling - Case 3'!Z193</f>
        <v>2904.9661085485213</v>
      </c>
      <c r="L267" s="576">
        <f t="shared" si="94"/>
        <v>0.5</v>
      </c>
      <c r="M267" s="576">
        <f t="shared" si="90"/>
        <v>0.5</v>
      </c>
      <c r="N267" s="58">
        <f t="shared" si="81"/>
        <v>0</v>
      </c>
      <c r="O267" s="58">
        <f t="shared" si="81"/>
        <v>0</v>
      </c>
      <c r="P267" s="1367">
        <f t="shared" si="82"/>
        <v>1.1619864434194085</v>
      </c>
      <c r="Q267" s="1102">
        <f t="shared" si="83"/>
        <v>5.8099322170970424</v>
      </c>
      <c r="R267" s="58"/>
      <c r="S267" s="1213">
        <f t="shared" si="84"/>
        <v>0.34859593302582254</v>
      </c>
      <c r="T267" s="1200">
        <f t="shared" si="85"/>
        <v>3.7370517304549842</v>
      </c>
      <c r="U267" s="1615">
        <f t="shared" si="85"/>
        <v>18.685258652274921</v>
      </c>
      <c r="V267" s="1615">
        <f t="shared" si="85"/>
        <v>0</v>
      </c>
      <c r="W267" s="1202">
        <f t="shared" si="85"/>
        <v>1.1211155191364952</v>
      </c>
    </row>
    <row r="268" spans="1:23">
      <c r="A268" s="466">
        <f>'Input data'!A134</f>
        <v>2034</v>
      </c>
      <c r="B268" s="1368">
        <f>'Recycling - Case 3'!AI114</f>
        <v>6437.663217588939</v>
      </c>
      <c r="C268" s="576">
        <f t="shared" si="93"/>
        <v>0.5</v>
      </c>
      <c r="D268" s="576">
        <f t="shared" si="86"/>
        <v>0.5</v>
      </c>
      <c r="E268" s="58">
        <v>0</v>
      </c>
      <c r="F268" s="58">
        <v>0</v>
      </c>
      <c r="G268" s="1367">
        <f t="shared" si="87"/>
        <v>2.5750652870355757</v>
      </c>
      <c r="H268" s="1102">
        <f t="shared" si="88"/>
        <v>12.875326435177879</v>
      </c>
      <c r="I268" s="58"/>
      <c r="J268" s="1213">
        <f t="shared" si="89"/>
        <v>0.77251958611067262</v>
      </c>
      <c r="K268" s="1366">
        <f>'Recycling - Case 3'!Z194</f>
        <v>2966.9991858332214</v>
      </c>
      <c r="L268" s="576">
        <f t="shared" si="94"/>
        <v>0.5</v>
      </c>
      <c r="M268" s="576">
        <f t="shared" si="90"/>
        <v>0.5</v>
      </c>
      <c r="N268" s="58">
        <f t="shared" ref="N268:O283" si="95">N130</f>
        <v>0</v>
      </c>
      <c r="O268" s="58">
        <f t="shared" si="95"/>
        <v>0</v>
      </c>
      <c r="P268" s="1367">
        <f t="shared" si="82"/>
        <v>1.1867996743332885</v>
      </c>
      <c r="Q268" s="1102">
        <f t="shared" si="83"/>
        <v>5.9339983716664424</v>
      </c>
      <c r="R268" s="58"/>
      <c r="S268" s="1213">
        <f t="shared" si="84"/>
        <v>0.35603990229998655</v>
      </c>
      <c r="T268" s="1200">
        <f t="shared" si="85"/>
        <v>3.7618649613688642</v>
      </c>
      <c r="U268" s="1615">
        <f t="shared" si="85"/>
        <v>18.809324806844323</v>
      </c>
      <c r="V268" s="1615">
        <f t="shared" si="85"/>
        <v>0</v>
      </c>
      <c r="W268" s="1202">
        <f t="shared" si="85"/>
        <v>1.1285594884106591</v>
      </c>
    </row>
    <row r="269" spans="1:23">
      <c r="A269" s="466">
        <f>'Input data'!A135</f>
        <v>2035</v>
      </c>
      <c r="B269" s="1368">
        <f>'Recycling - Case 3'!AI115</f>
        <v>6437.663217588939</v>
      </c>
      <c r="C269" s="576">
        <f t="shared" si="93"/>
        <v>0.5</v>
      </c>
      <c r="D269" s="576">
        <f t="shared" si="86"/>
        <v>0.5</v>
      </c>
      <c r="E269" s="58">
        <v>0</v>
      </c>
      <c r="F269" s="58">
        <v>0</v>
      </c>
      <c r="G269" s="1367">
        <f t="shared" si="87"/>
        <v>2.5750652870355757</v>
      </c>
      <c r="H269" s="1102">
        <f t="shared" si="88"/>
        <v>12.875326435177879</v>
      </c>
      <c r="I269" s="58"/>
      <c r="J269" s="1213">
        <f t="shared" si="89"/>
        <v>0.77251958611067262</v>
      </c>
      <c r="K269" s="1366">
        <f>'Recycling - Case 3'!Z195</f>
        <v>3033.3014163221746</v>
      </c>
      <c r="L269" s="576">
        <f t="shared" si="94"/>
        <v>0.5</v>
      </c>
      <c r="M269" s="576">
        <f t="shared" si="90"/>
        <v>0.5</v>
      </c>
      <c r="N269" s="58">
        <f t="shared" si="95"/>
        <v>0</v>
      </c>
      <c r="O269" s="58">
        <f t="shared" si="95"/>
        <v>0</v>
      </c>
      <c r="P269" s="1367">
        <f t="shared" si="82"/>
        <v>1.21332056652887</v>
      </c>
      <c r="Q269" s="1102">
        <f t="shared" si="83"/>
        <v>6.0666028326443495</v>
      </c>
      <c r="R269" s="58"/>
      <c r="S269" s="1213">
        <f t="shared" si="84"/>
        <v>0.36399616995866096</v>
      </c>
      <c r="T269" s="1200">
        <f t="shared" si="85"/>
        <v>3.7883858535644457</v>
      </c>
      <c r="U269" s="1615">
        <f t="shared" si="85"/>
        <v>18.941929267822228</v>
      </c>
      <c r="V269" s="1615">
        <f t="shared" si="85"/>
        <v>0</v>
      </c>
      <c r="W269" s="1202">
        <f t="shared" si="85"/>
        <v>1.1365157560693335</v>
      </c>
    </row>
    <row r="270" spans="1:23">
      <c r="A270" s="466">
        <f>'Input data'!A136</f>
        <v>2036</v>
      </c>
      <c r="B270" s="1368">
        <f>'Recycling - Case 3'!AI116</f>
        <v>6437.663217588939</v>
      </c>
      <c r="C270" s="576">
        <f t="shared" si="93"/>
        <v>0.5</v>
      </c>
      <c r="D270" s="576">
        <f t="shared" si="86"/>
        <v>0.5</v>
      </c>
      <c r="E270" s="58">
        <v>0</v>
      </c>
      <c r="F270" s="58">
        <v>0</v>
      </c>
      <c r="G270" s="1367">
        <f t="shared" si="87"/>
        <v>2.5750652870355757</v>
      </c>
      <c r="H270" s="1102">
        <f t="shared" si="88"/>
        <v>12.875326435177879</v>
      </c>
      <c r="I270" s="58"/>
      <c r="J270" s="1213">
        <f t="shared" si="89"/>
        <v>0.77251958611067262</v>
      </c>
      <c r="K270" s="1366">
        <f>'Recycling - Case 3'!Z196</f>
        <v>3101.5644156492149</v>
      </c>
      <c r="L270" s="576">
        <f t="shared" si="94"/>
        <v>0.5</v>
      </c>
      <c r="M270" s="576">
        <f t="shared" si="90"/>
        <v>0.5</v>
      </c>
      <c r="N270" s="58">
        <f t="shared" si="95"/>
        <v>0</v>
      </c>
      <c r="O270" s="58">
        <f t="shared" si="95"/>
        <v>0</v>
      </c>
      <c r="P270" s="1367">
        <f t="shared" si="82"/>
        <v>1.240625766259686</v>
      </c>
      <c r="Q270" s="1102">
        <f t="shared" si="83"/>
        <v>6.2031288312984296</v>
      </c>
      <c r="R270" s="58"/>
      <c r="S270" s="1213">
        <f t="shared" si="84"/>
        <v>0.37218772987790577</v>
      </c>
      <c r="T270" s="1200">
        <f t="shared" si="85"/>
        <v>3.8156910532952617</v>
      </c>
      <c r="U270" s="1615">
        <f t="shared" si="85"/>
        <v>19.078455266476308</v>
      </c>
      <c r="V270" s="1615">
        <f t="shared" si="85"/>
        <v>0</v>
      </c>
      <c r="W270" s="1202">
        <f t="shared" si="85"/>
        <v>1.1447073159885783</v>
      </c>
    </row>
    <row r="271" spans="1:23">
      <c r="A271" s="466">
        <f>'Input data'!A137</f>
        <v>2037</v>
      </c>
      <c r="B271" s="1368">
        <f>'Recycling - Case 3'!AI117</f>
        <v>6437.663217588939</v>
      </c>
      <c r="C271" s="576">
        <f t="shared" si="93"/>
        <v>0.5</v>
      </c>
      <c r="D271" s="576">
        <f t="shared" si="86"/>
        <v>0.5</v>
      </c>
      <c r="E271" s="58">
        <v>0</v>
      </c>
      <c r="F271" s="58">
        <v>0</v>
      </c>
      <c r="G271" s="1367">
        <f t="shared" si="87"/>
        <v>2.5750652870355757</v>
      </c>
      <c r="H271" s="1102">
        <f t="shared" si="88"/>
        <v>12.875326435177879</v>
      </c>
      <c r="I271" s="58"/>
      <c r="J271" s="1213">
        <f t="shared" si="89"/>
        <v>0.77251958611067262</v>
      </c>
      <c r="K271" s="1366">
        <f>'Recycling - Case 3'!Z197</f>
        <v>3172.7332635313132</v>
      </c>
      <c r="L271" s="576">
        <f t="shared" si="94"/>
        <v>0.5</v>
      </c>
      <c r="M271" s="576">
        <f t="shared" si="90"/>
        <v>0.5</v>
      </c>
      <c r="N271" s="58">
        <f t="shared" si="95"/>
        <v>0</v>
      </c>
      <c r="O271" s="58">
        <f t="shared" si="95"/>
        <v>0</v>
      </c>
      <c r="P271" s="1367">
        <f t="shared" si="82"/>
        <v>1.2690933054125253</v>
      </c>
      <c r="Q271" s="1102">
        <f t="shared" si="83"/>
        <v>6.3454665270626265</v>
      </c>
      <c r="R271" s="58"/>
      <c r="S271" s="1213">
        <f t="shared" si="84"/>
        <v>0.38072799162375759</v>
      </c>
      <c r="T271" s="1200">
        <f t="shared" si="85"/>
        <v>3.844158592448101</v>
      </c>
      <c r="U271" s="1615">
        <f t="shared" si="85"/>
        <v>19.220792962240505</v>
      </c>
      <c r="V271" s="1615">
        <f t="shared" si="85"/>
        <v>0</v>
      </c>
      <c r="W271" s="1202">
        <f t="shared" si="85"/>
        <v>1.1532475777344302</v>
      </c>
    </row>
    <row r="272" spans="1:23">
      <c r="A272" s="466">
        <f>'Input data'!A138</f>
        <v>2038</v>
      </c>
      <c r="B272" s="1368">
        <f>'Recycling - Case 3'!AI118</f>
        <v>6437.663217588939</v>
      </c>
      <c r="C272" s="576">
        <f t="shared" si="93"/>
        <v>0.5</v>
      </c>
      <c r="D272" s="576">
        <f t="shared" si="86"/>
        <v>0.5</v>
      </c>
      <c r="E272" s="58">
        <v>0</v>
      </c>
      <c r="F272" s="58">
        <v>0</v>
      </c>
      <c r="G272" s="1367">
        <f t="shared" si="87"/>
        <v>2.5750652870355757</v>
      </c>
      <c r="H272" s="1102">
        <f t="shared" si="88"/>
        <v>12.875326435177879</v>
      </c>
      <c r="I272" s="58"/>
      <c r="J272" s="1213">
        <f t="shared" si="89"/>
        <v>0.77251958611067262</v>
      </c>
      <c r="K272" s="1366">
        <f>'Recycling - Case 3'!Z198</f>
        <v>3244.988409938665</v>
      </c>
      <c r="L272" s="576">
        <f t="shared" si="94"/>
        <v>0.5</v>
      </c>
      <c r="M272" s="576">
        <f t="shared" si="90"/>
        <v>0.5</v>
      </c>
      <c r="N272" s="58">
        <f t="shared" si="95"/>
        <v>0</v>
      </c>
      <c r="O272" s="58">
        <f t="shared" si="95"/>
        <v>0</v>
      </c>
      <c r="P272" s="1367">
        <f t="shared" si="82"/>
        <v>1.297995363975466</v>
      </c>
      <c r="Q272" s="1102">
        <f t="shared" si="83"/>
        <v>6.48997681987733</v>
      </c>
      <c r="R272" s="58"/>
      <c r="S272" s="1213">
        <f t="shared" si="84"/>
        <v>0.3893986091926398</v>
      </c>
      <c r="T272" s="1200">
        <f t="shared" si="85"/>
        <v>3.8730606510110417</v>
      </c>
      <c r="U272" s="1615">
        <f t="shared" si="85"/>
        <v>19.36530325505521</v>
      </c>
      <c r="V272" s="1615">
        <f t="shared" si="85"/>
        <v>0</v>
      </c>
      <c r="W272" s="1202">
        <f t="shared" si="85"/>
        <v>1.1619181953033124</v>
      </c>
    </row>
    <row r="273" spans="1:23">
      <c r="A273" s="466">
        <f>'Input data'!A139</f>
        <v>2039</v>
      </c>
      <c r="B273" s="1368">
        <f>'Recycling - Case 3'!AI119</f>
        <v>6437.663217588939</v>
      </c>
      <c r="C273" s="576">
        <f t="shared" si="93"/>
        <v>0.5</v>
      </c>
      <c r="D273" s="576">
        <f t="shared" si="86"/>
        <v>0.5</v>
      </c>
      <c r="E273" s="58">
        <v>0</v>
      </c>
      <c r="F273" s="58">
        <v>0</v>
      </c>
      <c r="G273" s="1367">
        <f t="shared" si="87"/>
        <v>2.5750652870355757</v>
      </c>
      <c r="H273" s="1102">
        <f t="shared" si="88"/>
        <v>12.875326435177879</v>
      </c>
      <c r="I273" s="58"/>
      <c r="J273" s="1213">
        <f t="shared" si="89"/>
        <v>0.77251958611067262</v>
      </c>
      <c r="K273" s="1366">
        <f>'Recycling - Case 3'!Z199</f>
        <v>3320.2145828125908</v>
      </c>
      <c r="L273" s="576">
        <f t="shared" si="94"/>
        <v>0.5</v>
      </c>
      <c r="M273" s="576">
        <f t="shared" si="90"/>
        <v>0.5</v>
      </c>
      <c r="N273" s="58">
        <f t="shared" si="95"/>
        <v>0</v>
      </c>
      <c r="O273" s="58">
        <f t="shared" si="95"/>
        <v>0</v>
      </c>
      <c r="P273" s="1367">
        <f t="shared" si="82"/>
        <v>1.3280858331250365</v>
      </c>
      <c r="Q273" s="1102">
        <f t="shared" si="83"/>
        <v>6.6404291656251813</v>
      </c>
      <c r="R273" s="58"/>
      <c r="S273" s="1213">
        <f t="shared" si="84"/>
        <v>0.3984257499375109</v>
      </c>
      <c r="T273" s="1200">
        <f t="shared" si="85"/>
        <v>3.9031511201606124</v>
      </c>
      <c r="U273" s="1615">
        <f t="shared" si="85"/>
        <v>19.515755600803061</v>
      </c>
      <c r="V273" s="1615">
        <f t="shared" si="85"/>
        <v>0</v>
      </c>
      <c r="W273" s="1202">
        <f t="shared" si="85"/>
        <v>1.1709453360481836</v>
      </c>
    </row>
    <row r="274" spans="1:23">
      <c r="A274" s="466">
        <f>'Input data'!A140</f>
        <v>2040</v>
      </c>
      <c r="B274" s="1368">
        <f>'Recycling - Case 3'!AI120</f>
        <v>6437.663217588939</v>
      </c>
      <c r="C274" s="576">
        <f t="shared" si="93"/>
        <v>0.5</v>
      </c>
      <c r="D274" s="576">
        <f t="shared" si="86"/>
        <v>0.5</v>
      </c>
      <c r="E274" s="58">
        <v>0</v>
      </c>
      <c r="F274" s="58">
        <v>0</v>
      </c>
      <c r="G274" s="1367">
        <f t="shared" si="87"/>
        <v>2.5750652870355757</v>
      </c>
      <c r="H274" s="1102">
        <f t="shared" si="88"/>
        <v>12.875326435177879</v>
      </c>
      <c r="I274" s="58"/>
      <c r="J274" s="1213">
        <f t="shared" si="89"/>
        <v>0.77251958611067262</v>
      </c>
      <c r="K274" s="1366">
        <f>'Recycling - Case 3'!Z200</f>
        <v>3400.0466614335983</v>
      </c>
      <c r="L274" s="576">
        <f t="shared" si="94"/>
        <v>0.5</v>
      </c>
      <c r="M274" s="576">
        <f t="shared" si="90"/>
        <v>0.5</v>
      </c>
      <c r="N274" s="58">
        <f t="shared" si="95"/>
        <v>0</v>
      </c>
      <c r="O274" s="58">
        <f t="shared" si="95"/>
        <v>0</v>
      </c>
      <c r="P274" s="1367">
        <f t="shared" si="82"/>
        <v>1.3600186645734393</v>
      </c>
      <c r="Q274" s="1102">
        <f t="shared" si="83"/>
        <v>6.8000933228671965</v>
      </c>
      <c r="R274" s="58"/>
      <c r="S274" s="1213">
        <f t="shared" si="84"/>
        <v>0.40800559937203179</v>
      </c>
      <c r="T274" s="1200">
        <f t="shared" si="85"/>
        <v>3.9350839516090153</v>
      </c>
      <c r="U274" s="1615">
        <f t="shared" si="85"/>
        <v>19.675419758045074</v>
      </c>
      <c r="V274" s="1615">
        <f t="shared" si="85"/>
        <v>0</v>
      </c>
      <c r="W274" s="1202">
        <f t="shared" si="85"/>
        <v>1.1805251854827044</v>
      </c>
    </row>
    <row r="275" spans="1:23">
      <c r="A275" s="466">
        <f>'Input data'!A141</f>
        <v>2041</v>
      </c>
      <c r="B275" s="1368">
        <f>'Recycling - Case 3'!AI121</f>
        <v>6437.663217588939</v>
      </c>
      <c r="C275" s="576">
        <f t="shared" si="93"/>
        <v>0.5</v>
      </c>
      <c r="D275" s="576">
        <f t="shared" si="86"/>
        <v>0.5</v>
      </c>
      <c r="E275" s="58">
        <v>0</v>
      </c>
      <c r="F275" s="58">
        <v>0</v>
      </c>
      <c r="G275" s="1367">
        <f t="shared" si="87"/>
        <v>2.5750652870355757</v>
      </c>
      <c r="H275" s="1102">
        <f t="shared" si="88"/>
        <v>12.875326435177879</v>
      </c>
      <c r="I275" s="58"/>
      <c r="J275" s="1213">
        <f t="shared" si="89"/>
        <v>0.77251958611067262</v>
      </c>
      <c r="K275" s="1366">
        <f>'Recycling - Case 3'!Z201</f>
        <v>3483.1647930935037</v>
      </c>
      <c r="L275" s="576">
        <f t="shared" si="94"/>
        <v>0.5</v>
      </c>
      <c r="M275" s="576">
        <f t="shared" si="90"/>
        <v>0.5</v>
      </c>
      <c r="N275" s="58">
        <f t="shared" si="95"/>
        <v>0</v>
      </c>
      <c r="O275" s="58">
        <f t="shared" si="95"/>
        <v>0</v>
      </c>
      <c r="P275" s="1367">
        <f t="shared" si="82"/>
        <v>1.3932659172374016</v>
      </c>
      <c r="Q275" s="1102">
        <f t="shared" si="83"/>
        <v>6.9663295861870074</v>
      </c>
      <c r="R275" s="58"/>
      <c r="S275" s="1213">
        <f t="shared" si="84"/>
        <v>0.41797977517122042</v>
      </c>
      <c r="T275" s="1200">
        <f t="shared" si="85"/>
        <v>3.9683312042729773</v>
      </c>
      <c r="U275" s="1615">
        <f t="shared" si="85"/>
        <v>19.841656021364887</v>
      </c>
      <c r="V275" s="1615">
        <f t="shared" si="85"/>
        <v>0</v>
      </c>
      <c r="W275" s="1202">
        <f t="shared" si="85"/>
        <v>1.190499361281893</v>
      </c>
    </row>
    <row r="276" spans="1:23">
      <c r="A276" s="466">
        <f>'Input data'!A142</f>
        <v>2042</v>
      </c>
      <c r="B276" s="1368">
        <f>'Recycling - Case 3'!AI122</f>
        <v>6437.663217588939</v>
      </c>
      <c r="C276" s="576">
        <f t="shared" si="93"/>
        <v>0.5</v>
      </c>
      <c r="D276" s="576">
        <f t="shared" si="86"/>
        <v>0.5</v>
      </c>
      <c r="E276" s="58">
        <v>0</v>
      </c>
      <c r="F276" s="58">
        <v>0</v>
      </c>
      <c r="G276" s="1367">
        <f t="shared" si="87"/>
        <v>2.5750652870355757</v>
      </c>
      <c r="H276" s="1102">
        <f t="shared" si="88"/>
        <v>12.875326435177879</v>
      </c>
      <c r="I276" s="58"/>
      <c r="J276" s="1213">
        <f t="shared" si="89"/>
        <v>0.77251958611067262</v>
      </c>
      <c r="K276" s="1366">
        <f>'Recycling - Case 3'!Z202</f>
        <v>3569.829689438367</v>
      </c>
      <c r="L276" s="576">
        <f t="shared" si="94"/>
        <v>0.5</v>
      </c>
      <c r="M276" s="576">
        <f t="shared" si="90"/>
        <v>0.5</v>
      </c>
      <c r="N276" s="58">
        <f t="shared" si="95"/>
        <v>0</v>
      </c>
      <c r="O276" s="58">
        <f t="shared" si="95"/>
        <v>0</v>
      </c>
      <c r="P276" s="1367">
        <f t="shared" si="82"/>
        <v>1.427931875775347</v>
      </c>
      <c r="Q276" s="1102">
        <f t="shared" si="83"/>
        <v>7.1396593788767344</v>
      </c>
      <c r="R276" s="58"/>
      <c r="S276" s="1213">
        <f t="shared" si="84"/>
        <v>0.42837956273260402</v>
      </c>
      <c r="T276" s="1200">
        <f t="shared" si="85"/>
        <v>4.0029971628109227</v>
      </c>
      <c r="U276" s="1615">
        <f t="shared" si="85"/>
        <v>20.014985814054612</v>
      </c>
      <c r="V276" s="1615">
        <f t="shared" si="85"/>
        <v>0</v>
      </c>
      <c r="W276" s="1202">
        <f t="shared" si="85"/>
        <v>1.2008991488432765</v>
      </c>
    </row>
    <row r="277" spans="1:23">
      <c r="A277" s="466">
        <f>'Input data'!A143</f>
        <v>2043</v>
      </c>
      <c r="B277" s="1368">
        <f>'Recycling - Case 3'!AI123</f>
        <v>6437.663217588939</v>
      </c>
      <c r="C277" s="576">
        <f t="shared" si="93"/>
        <v>0.5</v>
      </c>
      <c r="D277" s="576">
        <f t="shared" si="86"/>
        <v>0.5</v>
      </c>
      <c r="E277" s="58">
        <v>0</v>
      </c>
      <c r="F277" s="58">
        <v>0</v>
      </c>
      <c r="G277" s="1367">
        <f t="shared" si="87"/>
        <v>2.5750652870355757</v>
      </c>
      <c r="H277" s="1102">
        <f t="shared" si="88"/>
        <v>12.875326435177879</v>
      </c>
      <c r="I277" s="58"/>
      <c r="J277" s="1213">
        <f t="shared" si="89"/>
        <v>0.77251958611067262</v>
      </c>
      <c r="K277" s="1366">
        <f>'Recycling - Case 3'!Z203</f>
        <v>3659.8240907631371</v>
      </c>
      <c r="L277" s="576">
        <f t="shared" si="94"/>
        <v>0.5</v>
      </c>
      <c r="M277" s="576">
        <f t="shared" si="90"/>
        <v>0.5</v>
      </c>
      <c r="N277" s="58">
        <f t="shared" si="95"/>
        <v>0</v>
      </c>
      <c r="O277" s="58">
        <f t="shared" si="95"/>
        <v>0</v>
      </c>
      <c r="P277" s="1367">
        <f t="shared" si="82"/>
        <v>1.463929636305255</v>
      </c>
      <c r="Q277" s="1102">
        <f t="shared" si="83"/>
        <v>7.3196481815262739</v>
      </c>
      <c r="R277" s="58"/>
      <c r="S277" s="1213">
        <f t="shared" si="84"/>
        <v>0.43917889089157641</v>
      </c>
      <c r="T277" s="1200">
        <f t="shared" si="85"/>
        <v>4.0389949233408302</v>
      </c>
      <c r="U277" s="1615">
        <f t="shared" si="85"/>
        <v>20.194974616704151</v>
      </c>
      <c r="V277" s="1615">
        <f t="shared" si="85"/>
        <v>0</v>
      </c>
      <c r="W277" s="1202">
        <f t="shared" si="85"/>
        <v>1.211698477002249</v>
      </c>
    </row>
    <row r="278" spans="1:23">
      <c r="A278" s="466">
        <f>'Input data'!A144</f>
        <v>2044</v>
      </c>
      <c r="B278" s="1368">
        <f>'Recycling - Case 3'!AI124</f>
        <v>6437.663217588939</v>
      </c>
      <c r="C278" s="576">
        <f t="shared" si="93"/>
        <v>0.5</v>
      </c>
      <c r="D278" s="576">
        <f t="shared" si="86"/>
        <v>0.5</v>
      </c>
      <c r="E278" s="58">
        <v>0</v>
      </c>
      <c r="F278" s="58">
        <v>0</v>
      </c>
      <c r="G278" s="1367">
        <f t="shared" si="87"/>
        <v>2.5750652870355757</v>
      </c>
      <c r="H278" s="1102">
        <f t="shared" si="88"/>
        <v>12.875326435177879</v>
      </c>
      <c r="I278" s="58"/>
      <c r="J278" s="1213">
        <f t="shared" si="89"/>
        <v>0.77251958611067262</v>
      </c>
      <c r="K278" s="1366">
        <f>'Recycling - Case 3'!Z204</f>
        <v>3753.6313999115555</v>
      </c>
      <c r="L278" s="576">
        <f t="shared" si="94"/>
        <v>0.5</v>
      </c>
      <c r="M278" s="576">
        <f t="shared" si="90"/>
        <v>0.5</v>
      </c>
      <c r="N278" s="58">
        <f t="shared" si="95"/>
        <v>0</v>
      </c>
      <c r="O278" s="58">
        <f t="shared" si="95"/>
        <v>0</v>
      </c>
      <c r="P278" s="1367">
        <f t="shared" si="82"/>
        <v>1.5014525599646222</v>
      </c>
      <c r="Q278" s="1102">
        <f t="shared" si="83"/>
        <v>7.5072627998231107</v>
      </c>
      <c r="R278" s="58"/>
      <c r="S278" s="1213">
        <f t="shared" si="84"/>
        <v>0.45043576798938667</v>
      </c>
      <c r="T278" s="1200">
        <f t="shared" si="85"/>
        <v>4.0765178470001979</v>
      </c>
      <c r="U278" s="1615">
        <f t="shared" si="85"/>
        <v>20.382589235000989</v>
      </c>
      <c r="V278" s="1615">
        <f t="shared" si="85"/>
        <v>0</v>
      </c>
      <c r="W278" s="1202">
        <f t="shared" si="85"/>
        <v>1.2229553541000593</v>
      </c>
    </row>
    <row r="279" spans="1:23">
      <c r="A279" s="466">
        <f>'Input data'!A145</f>
        <v>2045</v>
      </c>
      <c r="B279" s="1368">
        <f>'Recycling - Case 3'!AI125</f>
        <v>6437.663217588939</v>
      </c>
      <c r="C279" s="576">
        <f t="shared" si="93"/>
        <v>0.5</v>
      </c>
      <c r="D279" s="576">
        <f t="shared" si="86"/>
        <v>0.5</v>
      </c>
      <c r="E279" s="58">
        <v>0</v>
      </c>
      <c r="F279" s="58">
        <v>0</v>
      </c>
      <c r="G279" s="1367">
        <f t="shared" si="87"/>
        <v>2.5750652870355757</v>
      </c>
      <c r="H279" s="1102">
        <f t="shared" si="88"/>
        <v>12.875326435177879</v>
      </c>
      <c r="I279" s="58"/>
      <c r="J279" s="1213">
        <f t="shared" si="89"/>
        <v>0.77251958611067262</v>
      </c>
      <c r="K279" s="1366">
        <f>'Recycling - Case 3'!Z205</f>
        <v>3853.2612691553395</v>
      </c>
      <c r="L279" s="576">
        <f t="shared" si="94"/>
        <v>0.5</v>
      </c>
      <c r="M279" s="576">
        <f t="shared" si="90"/>
        <v>0.5</v>
      </c>
      <c r="N279" s="58">
        <f t="shared" si="95"/>
        <v>0</v>
      </c>
      <c r="O279" s="58">
        <f t="shared" si="95"/>
        <v>0</v>
      </c>
      <c r="P279" s="1367">
        <f t="shared" si="82"/>
        <v>1.5413045076621359</v>
      </c>
      <c r="Q279" s="1102">
        <f t="shared" si="83"/>
        <v>7.7065225383106792</v>
      </c>
      <c r="R279" s="58"/>
      <c r="S279" s="1213">
        <f t="shared" si="84"/>
        <v>0.4623913522986407</v>
      </c>
      <c r="T279" s="1200">
        <f t="shared" si="85"/>
        <v>4.1163697946977118</v>
      </c>
      <c r="U279" s="1615">
        <f t="shared" si="85"/>
        <v>20.581848973488558</v>
      </c>
      <c r="V279" s="1615">
        <f t="shared" si="85"/>
        <v>0</v>
      </c>
      <c r="W279" s="1202">
        <f t="shared" si="85"/>
        <v>1.2349109384093133</v>
      </c>
    </row>
    <row r="280" spans="1:23">
      <c r="A280" s="466">
        <f>'Input data'!A146</f>
        <v>2046</v>
      </c>
      <c r="B280" s="1368">
        <f>'Recycling - Case 3'!AI126</f>
        <v>6437.663217588939</v>
      </c>
      <c r="C280" s="576">
        <f t="shared" si="93"/>
        <v>0.5</v>
      </c>
      <c r="D280" s="576">
        <f t="shared" si="86"/>
        <v>0.5</v>
      </c>
      <c r="E280" s="58">
        <v>0</v>
      </c>
      <c r="F280" s="58">
        <v>0</v>
      </c>
      <c r="G280" s="1367">
        <f t="shared" si="87"/>
        <v>2.5750652870355757</v>
      </c>
      <c r="H280" s="1102">
        <f t="shared" si="88"/>
        <v>12.875326435177879</v>
      </c>
      <c r="I280" s="58"/>
      <c r="J280" s="1213">
        <f t="shared" si="89"/>
        <v>0.77251958611067262</v>
      </c>
      <c r="K280" s="1366">
        <f>'Recycling - Case 3'!Z206</f>
        <v>3957.8175022111564</v>
      </c>
      <c r="L280" s="576">
        <f t="shared" si="94"/>
        <v>0.5</v>
      </c>
      <c r="M280" s="576">
        <f t="shared" si="90"/>
        <v>0.5</v>
      </c>
      <c r="N280" s="58">
        <f t="shared" si="95"/>
        <v>0</v>
      </c>
      <c r="O280" s="58">
        <f t="shared" si="95"/>
        <v>0</v>
      </c>
      <c r="P280" s="1367">
        <f t="shared" si="82"/>
        <v>1.5831270008844627</v>
      </c>
      <c r="Q280" s="1102">
        <f t="shared" si="83"/>
        <v>7.9156350044223123</v>
      </c>
      <c r="R280" s="58"/>
      <c r="S280" s="1213">
        <f t="shared" si="84"/>
        <v>0.47493810026533873</v>
      </c>
      <c r="T280" s="1200">
        <f t="shared" si="85"/>
        <v>4.1581922879200386</v>
      </c>
      <c r="U280" s="1615">
        <f t="shared" si="85"/>
        <v>20.790961439600192</v>
      </c>
      <c r="V280" s="1615">
        <f t="shared" si="85"/>
        <v>0</v>
      </c>
      <c r="W280" s="1202">
        <f t="shared" si="85"/>
        <v>1.2474576863760114</v>
      </c>
    </row>
    <row r="281" spans="1:23">
      <c r="A281" s="466">
        <f>'Input data'!A147</f>
        <v>2047</v>
      </c>
      <c r="B281" s="1368">
        <f>'Recycling - Case 3'!AI127</f>
        <v>6437.663217588939</v>
      </c>
      <c r="C281" s="576">
        <f t="shared" si="93"/>
        <v>0.5</v>
      </c>
      <c r="D281" s="576">
        <f t="shared" si="86"/>
        <v>0.5</v>
      </c>
      <c r="E281" s="58">
        <v>0</v>
      </c>
      <c r="F281" s="58">
        <v>0</v>
      </c>
      <c r="G281" s="1367">
        <f t="shared" si="87"/>
        <v>2.5750652870355757</v>
      </c>
      <c r="H281" s="1102">
        <f t="shared" si="88"/>
        <v>12.875326435177879</v>
      </c>
      <c r="I281" s="58"/>
      <c r="J281" s="1213">
        <f t="shared" si="89"/>
        <v>0.77251958611067262</v>
      </c>
      <c r="K281" s="1366">
        <f>'Recycling - Case 3'!Z207</f>
        <v>4067.3652769905207</v>
      </c>
      <c r="L281" s="576">
        <f t="shared" si="94"/>
        <v>0.5</v>
      </c>
      <c r="M281" s="576">
        <f t="shared" si="90"/>
        <v>0.5</v>
      </c>
      <c r="N281" s="58">
        <f t="shared" si="95"/>
        <v>0</v>
      </c>
      <c r="O281" s="58">
        <f t="shared" si="95"/>
        <v>0</v>
      </c>
      <c r="P281" s="1367">
        <f t="shared" si="82"/>
        <v>1.6269461107962084</v>
      </c>
      <c r="Q281" s="1102">
        <f t="shared" si="83"/>
        <v>8.1347305539810417</v>
      </c>
      <c r="R281" s="58"/>
      <c r="S281" s="1213">
        <f t="shared" si="84"/>
        <v>0.48808383323886245</v>
      </c>
      <c r="T281" s="1200">
        <f t="shared" si="85"/>
        <v>4.2020113978317841</v>
      </c>
      <c r="U281" s="1615">
        <f t="shared" si="85"/>
        <v>21.010056989158919</v>
      </c>
      <c r="V281" s="1615">
        <f t="shared" si="85"/>
        <v>0</v>
      </c>
      <c r="W281" s="1202">
        <f t="shared" si="85"/>
        <v>1.260603419349535</v>
      </c>
    </row>
    <row r="282" spans="1:23">
      <c r="A282" s="466">
        <f>'Input data'!A148</f>
        <v>2048</v>
      </c>
      <c r="B282" s="1368">
        <f>'Recycling - Case 3'!AI128</f>
        <v>6437.663217588939</v>
      </c>
      <c r="C282" s="576">
        <f t="shared" si="93"/>
        <v>0.5</v>
      </c>
      <c r="D282" s="576">
        <f t="shared" si="86"/>
        <v>0.5</v>
      </c>
      <c r="E282" s="58">
        <v>0</v>
      </c>
      <c r="F282" s="58">
        <v>0</v>
      </c>
      <c r="G282" s="1367">
        <f t="shared" si="87"/>
        <v>2.5750652870355757</v>
      </c>
      <c r="H282" s="1102">
        <f t="shared" si="88"/>
        <v>12.875326435177879</v>
      </c>
      <c r="I282" s="58"/>
      <c r="J282" s="1213">
        <f t="shared" si="89"/>
        <v>0.77251958611067262</v>
      </c>
      <c r="K282" s="1366">
        <f>'Recycling - Case 3'!Z208</f>
        <v>4178.1731580591822</v>
      </c>
      <c r="L282" s="576">
        <f t="shared" si="94"/>
        <v>0.5</v>
      </c>
      <c r="M282" s="576">
        <f t="shared" si="90"/>
        <v>0.5</v>
      </c>
      <c r="N282" s="58">
        <f t="shared" si="95"/>
        <v>0</v>
      </c>
      <c r="O282" s="58">
        <f t="shared" si="95"/>
        <v>0</v>
      </c>
      <c r="P282" s="1367">
        <f t="shared" si="82"/>
        <v>1.671269263223673</v>
      </c>
      <c r="Q282" s="1102">
        <f t="shared" si="83"/>
        <v>8.3563463161183638</v>
      </c>
      <c r="R282" s="58"/>
      <c r="S282" s="1213">
        <f t="shared" si="84"/>
        <v>0.50138077896710187</v>
      </c>
      <c r="T282" s="1200">
        <f t="shared" si="85"/>
        <v>4.2463345502592489</v>
      </c>
      <c r="U282" s="1615">
        <f t="shared" si="85"/>
        <v>21.231672751296244</v>
      </c>
      <c r="V282" s="1615">
        <f t="shared" si="85"/>
        <v>0</v>
      </c>
      <c r="W282" s="1202">
        <f t="shared" si="85"/>
        <v>1.2739003650777745</v>
      </c>
    </row>
    <row r="283" spans="1:23">
      <c r="A283" s="466">
        <f>'Input data'!A149</f>
        <v>2049</v>
      </c>
      <c r="B283" s="1368">
        <f>'Recycling - Case 3'!AI129</f>
        <v>6437.663217588939</v>
      </c>
      <c r="C283" s="576">
        <f t="shared" si="93"/>
        <v>0.5</v>
      </c>
      <c r="D283" s="576">
        <f t="shared" si="86"/>
        <v>0.5</v>
      </c>
      <c r="E283" s="58">
        <v>0</v>
      </c>
      <c r="F283" s="58">
        <v>0</v>
      </c>
      <c r="G283" s="1367">
        <f t="shared" si="87"/>
        <v>2.5750652870355757</v>
      </c>
      <c r="H283" s="1102">
        <f t="shared" si="88"/>
        <v>12.875326435177879</v>
      </c>
      <c r="I283" s="58"/>
      <c r="J283" s="1213">
        <f t="shared" si="89"/>
        <v>0.77251958611067262</v>
      </c>
      <c r="K283" s="1366">
        <f>'Recycling - Case 3'!Z209</f>
        <v>4294.4451207098782</v>
      </c>
      <c r="L283" s="576">
        <f t="shared" si="94"/>
        <v>0.5</v>
      </c>
      <c r="M283" s="576">
        <f t="shared" si="90"/>
        <v>0.5</v>
      </c>
      <c r="N283" s="58">
        <f t="shared" si="95"/>
        <v>0</v>
      </c>
      <c r="O283" s="58">
        <f t="shared" si="95"/>
        <v>0</v>
      </c>
      <c r="P283" s="1367">
        <f t="shared" si="82"/>
        <v>1.7177780482839515</v>
      </c>
      <c r="Q283" s="1102">
        <f t="shared" si="83"/>
        <v>8.5888902414197563</v>
      </c>
      <c r="R283" s="58"/>
      <c r="S283" s="1213">
        <f t="shared" si="84"/>
        <v>0.51533341448518533</v>
      </c>
      <c r="T283" s="1200">
        <f t="shared" si="85"/>
        <v>4.2928433353195272</v>
      </c>
      <c r="U283" s="1615">
        <f t="shared" si="85"/>
        <v>21.464216676597637</v>
      </c>
      <c r="V283" s="1615">
        <f t="shared" si="85"/>
        <v>0</v>
      </c>
      <c r="W283" s="1202">
        <f t="shared" si="85"/>
        <v>1.2878530005958579</v>
      </c>
    </row>
    <row r="284" spans="1:23" ht="15" thickBot="1">
      <c r="A284" s="1365">
        <f>'Input data'!A150</f>
        <v>2050</v>
      </c>
      <c r="B284" s="1616">
        <f>'Recycling - Case 3'!AI130</f>
        <v>6437.663217588939</v>
      </c>
      <c r="C284" s="578">
        <f t="shared" si="93"/>
        <v>0.5</v>
      </c>
      <c r="D284" s="578">
        <f t="shared" si="86"/>
        <v>0.5</v>
      </c>
      <c r="E284" s="1214">
        <v>0</v>
      </c>
      <c r="F284" s="1214">
        <v>0</v>
      </c>
      <c r="G284" s="1215">
        <f t="shared" si="87"/>
        <v>2.5750652870355757</v>
      </c>
      <c r="H284" s="1146">
        <f t="shared" si="88"/>
        <v>12.875326435177879</v>
      </c>
      <c r="I284" s="1214"/>
      <c r="J284" s="1216">
        <f t="shared" si="89"/>
        <v>0.77251958611067262</v>
      </c>
      <c r="K284" s="1487">
        <f>'Recycling - Case 3'!Z210</f>
        <v>4416.6156843527096</v>
      </c>
      <c r="L284" s="578">
        <f t="shared" si="94"/>
        <v>0.5</v>
      </c>
      <c r="M284" s="578">
        <f t="shared" si="90"/>
        <v>0.5</v>
      </c>
      <c r="N284" s="1214">
        <f t="shared" ref="N284:O284" si="96">N146</f>
        <v>0</v>
      </c>
      <c r="O284" s="1214">
        <f t="shared" si="96"/>
        <v>0</v>
      </c>
      <c r="P284" s="1215">
        <f t="shared" si="82"/>
        <v>1.766646273741084</v>
      </c>
      <c r="Q284" s="1146">
        <f t="shared" si="83"/>
        <v>8.8332313687054196</v>
      </c>
      <c r="R284" s="1214"/>
      <c r="S284" s="1216">
        <f t="shared" si="84"/>
        <v>0.52999388212232512</v>
      </c>
      <c r="T284" s="1217">
        <f t="shared" si="85"/>
        <v>4.3417115607766599</v>
      </c>
      <c r="U284" s="1218">
        <f t="shared" si="85"/>
        <v>21.708557803883298</v>
      </c>
      <c r="V284" s="1218">
        <f t="shared" si="85"/>
        <v>0</v>
      </c>
      <c r="W284" s="1219">
        <f t="shared" si="85"/>
        <v>1.3025134682329977</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387" customWidth="1"/>
  </cols>
  <sheetData>
    <row r="1" spans="1:37">
      <c r="A1" s="2" t="s">
        <v>38</v>
      </c>
    </row>
    <row r="2" spans="1:37">
      <c r="Q2" s="4"/>
      <c r="R2" s="464"/>
      <c r="S2" s="4"/>
      <c r="T2" s="4"/>
      <c r="U2" s="4"/>
      <c r="V2" s="4"/>
      <c r="W2" s="4"/>
      <c r="X2" s="4"/>
      <c r="Y2" s="4"/>
      <c r="Z2" s="464"/>
      <c r="AA2" s="4"/>
      <c r="AB2" s="4"/>
    </row>
    <row r="3" spans="1:37" ht="1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28.8">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805.29417184034583</v>
      </c>
      <c r="D82" s="528">
        <f>$B82*'Baseline data (from input)'!M68*'Baseline data (from input)'!$C68</f>
        <v>841.0534426558005</v>
      </c>
      <c r="E82" s="528">
        <f>$B82*'Baseline data (from input)'!N68*'Baseline data (from input)'!$C68</f>
        <v>229.71722761536424</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898.11543660643758</v>
      </c>
      <c r="J82" s="676">
        <f t="shared" si="3"/>
        <v>2774.1802787179481</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1.2135134152900278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30.941873021964984</v>
      </c>
      <c r="R82" s="1374">
        <f t="shared" si="0"/>
        <v>32.155386437255011</v>
      </c>
      <c r="S82" s="484">
        <f>C82*'4C2 Open-burning '!$C$9*'4C2 Open-burning '!$C$11*$C$5</f>
        <v>3.1406472701773485</v>
      </c>
      <c r="T82" s="485">
        <f>D82*'4C2 Open-burning '!$C$9*'4C2 Open-burning '!$C$11*$C$5</f>
        <v>3.2801084263576219</v>
      </c>
      <c r="U82" s="485">
        <f>E82*'4C2 Open-burning '!$C$9*'4C2 Open-burning '!$C$11*$C$5</f>
        <v>0.89589718769992055</v>
      </c>
      <c r="V82" s="485">
        <f>F82*'4C2 Open-burning '!$C$9*'4C2 Open-burning '!$C$11*$C$5</f>
        <v>0</v>
      </c>
      <c r="W82" s="485">
        <f>G82*'4C2 Open-burning '!$C$9*'4C2 Open-burning '!$C$11*$C$5</f>
        <v>0</v>
      </c>
      <c r="X82" s="485">
        <f>H82*'4C2 Open-burning '!$C$9*'4C2 Open-burning '!$C$11*$C$5</f>
        <v>0</v>
      </c>
      <c r="Y82" s="485">
        <f>I82*'4C2 Open-burning '!$C$9*'4C2 Open-burning '!$C$11*$C$5</f>
        <v>3.5026502027651065</v>
      </c>
      <c r="Z82" s="486">
        <f t="shared" si="4"/>
        <v>10.819303086999996</v>
      </c>
      <c r="AA82" s="487">
        <f>C82*'4C2 Open-burning '!$C$10*'4C2 Open-burning '!$C$11*$C$5*C$15</f>
        <v>2.8990590186252455E-2</v>
      </c>
      <c r="AB82" s="487">
        <f>D82*'4C2 Open-burning '!$C$10*'4C2 Open-burning '!$C$11*$C$5*D$15</f>
        <v>3.0277923935608814E-2</v>
      </c>
      <c r="AC82" s="487">
        <f>E82*'4C2 Open-burning '!$C$10*'4C2 Open-burning '!$C$11*$C$5*E$15</f>
        <v>1.8607095436844502E-2</v>
      </c>
      <c r="AD82" s="487">
        <f>F82*'4C2 Open-burning '!$C$10*'4C2 Open-burning '!$C$11*$C$5*F$15</f>
        <v>0</v>
      </c>
      <c r="AE82" s="487">
        <f>G82*'4C2 Open-burning '!$C$10*'4C2 Open-burning '!$C$11*$C$5*G$15</f>
        <v>0</v>
      </c>
      <c r="AF82" s="487">
        <f>H82*'4C2 Open-burning '!$C$10*'4C2 Open-burning '!$C$11*$C$5*H$15</f>
        <v>0</v>
      </c>
      <c r="AG82" s="487">
        <f>I82*'4C2 Open-burning '!$C$10*'4C2 Open-burning '!$C$11*$C$5*I$15</f>
        <v>7.2747350365121435E-2</v>
      </c>
      <c r="AH82" s="488">
        <f t="shared" si="2"/>
        <v>0.15062295992382718</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817.39187106158624</v>
      </c>
      <c r="D83" s="528">
        <f>$B83*'Baseline data (from input)'!M69*'Baseline data (from input)'!$C69</f>
        <v>853.68834296184139</v>
      </c>
      <c r="E83" s="528">
        <f>$B83*'Baseline data (from input)'!N69*'Baseline data (from input)'!$C69</f>
        <v>233.16820245512611</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911.60756258716765</v>
      </c>
      <c r="J83" s="676">
        <f t="shared" si="3"/>
        <v>2815.8559790657214</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1.2317436730175473</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31.406703746253097</v>
      </c>
      <c r="R83" s="1374">
        <f t="shared" si="0"/>
        <v>32.638447419270648</v>
      </c>
      <c r="S83" s="484">
        <f>C83*'4C2 Open-burning '!$C$9*'4C2 Open-burning '!$C$11*$C$5</f>
        <v>3.1878282971401859</v>
      </c>
      <c r="T83" s="485">
        <f>D83*'4C2 Open-burning '!$C$9*'4C2 Open-burning '!$C$11*$C$5</f>
        <v>3.329384537551181</v>
      </c>
      <c r="U83" s="485">
        <f>E83*'4C2 Open-burning '!$C$9*'4C2 Open-burning '!$C$11*$C$5</f>
        <v>0.90935598957499175</v>
      </c>
      <c r="V83" s="485">
        <f>F83*'4C2 Open-burning '!$C$9*'4C2 Open-burning '!$C$11*$C$5</f>
        <v>0</v>
      </c>
      <c r="W83" s="485">
        <f>G83*'4C2 Open-burning '!$C$9*'4C2 Open-burning '!$C$11*$C$5</f>
        <v>0</v>
      </c>
      <c r="X83" s="485">
        <f>H83*'4C2 Open-burning '!$C$9*'4C2 Open-burning '!$C$11*$C$5</f>
        <v>0</v>
      </c>
      <c r="Y83" s="485">
        <f>I83*'4C2 Open-burning '!$C$9*'4C2 Open-burning '!$C$11*$C$5</f>
        <v>3.5552694940899534</v>
      </c>
      <c r="Z83" s="486">
        <f t="shared" si="4"/>
        <v>10.981838318356312</v>
      </c>
      <c r="AA83" s="487">
        <f>C83*'4C2 Open-burning '!$C$10*'4C2 Open-burning '!$C$11*$C$5*C$15</f>
        <v>2.9426107358217102E-2</v>
      </c>
      <c r="AB83" s="487">
        <f>D83*'4C2 Open-burning '!$C$10*'4C2 Open-burning '!$C$11*$C$5*D$15</f>
        <v>3.0732780346626288E-2</v>
      </c>
      <c r="AC83" s="487">
        <f>E83*'4C2 Open-burning '!$C$10*'4C2 Open-burning '!$C$11*$C$5*E$15</f>
        <v>1.8886624398865213E-2</v>
      </c>
      <c r="AD83" s="487">
        <f>F83*'4C2 Open-burning '!$C$10*'4C2 Open-burning '!$C$11*$C$5*F$15</f>
        <v>0</v>
      </c>
      <c r="AE83" s="487">
        <f>G83*'4C2 Open-burning '!$C$10*'4C2 Open-burning '!$C$11*$C$5*G$15</f>
        <v>0</v>
      </c>
      <c r="AF83" s="487">
        <f>H83*'4C2 Open-burning '!$C$10*'4C2 Open-burning '!$C$11*$C$5*H$15</f>
        <v>0</v>
      </c>
      <c r="AG83" s="487">
        <f>I83*'4C2 Open-burning '!$C$10*'4C2 Open-burning '!$C$11*$C$5*I$15</f>
        <v>7.3840212569560568E-2</v>
      </c>
      <c r="AH83" s="488">
        <f t="shared" si="2"/>
        <v>0.15288572467326916</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827.56200622965423</v>
      </c>
      <c r="D84" s="528">
        <f>$B84*'Baseline data (from input)'!M70*'Baseline data (from input)'!$C70</f>
        <v>864.31008529462224</v>
      </c>
      <c r="E84" s="528">
        <f>$B84*'Baseline data (from input)'!N70*'Baseline data (from input)'!$C70</f>
        <v>236.06932273759756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922.9499461610385</v>
      </c>
      <c r="J84" s="676">
        <f t="shared" si="3"/>
        <v>2850.8913604229128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1.2470692470665423</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31.797471545140095</v>
      </c>
      <c r="R84" s="1374">
        <f t="shared" si="0"/>
        <v>33.044540792206639</v>
      </c>
      <c r="S84" s="484">
        <f>C84*'4C2 Open-burning '!$C$9*'4C2 Open-burning '!$C$11*$C$5</f>
        <v>3.227491824295651</v>
      </c>
      <c r="T84" s="485">
        <f>D84*'4C2 Open-burning '!$C$9*'4C2 Open-burning '!$C$11*$C$5</f>
        <v>3.3708093326490265</v>
      </c>
      <c r="U84" s="485">
        <f>E84*'4C2 Open-burning '!$C$9*'4C2 Open-burning '!$C$11*$C$5</f>
        <v>0.92067035867663038</v>
      </c>
      <c r="V84" s="485">
        <f>F84*'4C2 Open-burning '!$C$9*'4C2 Open-burning '!$C$11*$C$5</f>
        <v>0</v>
      </c>
      <c r="W84" s="485">
        <f>G84*'4C2 Open-burning '!$C$9*'4C2 Open-burning '!$C$11*$C$5</f>
        <v>0</v>
      </c>
      <c r="X84" s="485">
        <f>H84*'4C2 Open-burning '!$C$9*'4C2 Open-burning '!$C$11*$C$5</f>
        <v>0</v>
      </c>
      <c r="Y84" s="485">
        <f>I84*'4C2 Open-burning '!$C$9*'4C2 Open-burning '!$C$11*$C$5</f>
        <v>3.5995047900280497</v>
      </c>
      <c r="Z84" s="486">
        <f t="shared" si="4"/>
        <v>11.118476305649356</v>
      </c>
      <c r="AA84" s="487">
        <f>C84*'4C2 Open-burning '!$C$10*'4C2 Open-burning '!$C$11*$C$5*C$15</f>
        <v>2.9792232224267551E-2</v>
      </c>
      <c r="AB84" s="487">
        <f>D84*'4C2 Open-burning '!$C$10*'4C2 Open-burning '!$C$11*$C$5*D$15</f>
        <v>3.1115163070606397E-2</v>
      </c>
      <c r="AC84" s="487">
        <f>E84*'4C2 Open-burning '!$C$10*'4C2 Open-burning '!$C$11*$C$5*E$15</f>
        <v>1.9121615141745398E-2</v>
      </c>
      <c r="AD84" s="487">
        <f>F84*'4C2 Open-burning '!$C$10*'4C2 Open-burning '!$C$11*$C$5*F$15</f>
        <v>0</v>
      </c>
      <c r="AE84" s="487">
        <f>G84*'4C2 Open-burning '!$C$10*'4C2 Open-burning '!$C$11*$C$5*G$15</f>
        <v>0</v>
      </c>
      <c r="AF84" s="487">
        <f>H84*'4C2 Open-burning '!$C$10*'4C2 Open-burning '!$C$11*$C$5*H$15</f>
        <v>0</v>
      </c>
      <c r="AG84" s="487">
        <f>I84*'4C2 Open-burning '!$C$10*'4C2 Open-burning '!$C$11*$C$5*I$15</f>
        <v>7.4758945639044103E-2</v>
      </c>
      <c r="AH84" s="488">
        <f t="shared" si="2"/>
        <v>0.15478795607566345</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835.70929981493816</v>
      </c>
      <c r="D85" s="528">
        <f>$B85*'Baseline data (from input)'!M71*'Baseline data (from input)'!$C71</f>
        <v>872.81916130416414</v>
      </c>
      <c r="E85" s="528">
        <f>$B85*'Baseline data (from input)'!N71*'Baseline data (from input)'!$C71</f>
        <v>238.3934097115573</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932.03632774850973</v>
      </c>
      <c r="J85" s="676">
        <f t="shared" si="3"/>
        <v>2878.9581985791692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1.259346561878661</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32.110515563591655</v>
      </c>
      <c r="R85" s="1374">
        <f t="shared" ref="R85:R87" si="5">SUM(K85:Q85)</f>
        <v>33.369862125470313</v>
      </c>
      <c r="S85" s="484">
        <f>C85*'4C2 Open-burning '!$C$9*'4C2 Open-burning '!$C$11*$C$5</f>
        <v>3.2592662692782586</v>
      </c>
      <c r="T85" s="485">
        <f>D85*'4C2 Open-burning '!$C$9*'4C2 Open-burning '!$C$11*$C$5</f>
        <v>3.4039947290862398</v>
      </c>
      <c r="U85" s="485">
        <f>E85*'4C2 Open-burning '!$C$9*'4C2 Open-burning '!$C$11*$C$5</f>
        <v>0.92973429787507333</v>
      </c>
      <c r="V85" s="485">
        <f>F85*'4C2 Open-burning '!$C$9*'4C2 Open-burning '!$C$11*$C$5</f>
        <v>0</v>
      </c>
      <c r="W85" s="485">
        <f>G85*'4C2 Open-burning '!$C$9*'4C2 Open-burning '!$C$11*$C$5</f>
        <v>0</v>
      </c>
      <c r="X85" s="485">
        <f>H85*'4C2 Open-burning '!$C$9*'4C2 Open-burning '!$C$11*$C$5</f>
        <v>0</v>
      </c>
      <c r="Y85" s="485">
        <f>I85*'4C2 Open-burning '!$C$9*'4C2 Open-burning '!$C$11*$C$5</f>
        <v>3.6349416782191879</v>
      </c>
      <c r="Z85" s="486">
        <f t="shared" si="4"/>
        <v>11.22793697445876</v>
      </c>
      <c r="AA85" s="487">
        <f>C85*'4C2 Open-burning '!$C$10*'4C2 Open-burning '!$C$11*$C$5*C$15</f>
        <v>3.0085534793337771E-2</v>
      </c>
      <c r="AB85" s="487">
        <f>D85*'4C2 Open-burning '!$C$10*'4C2 Open-burning '!$C$11*$C$5*D$15</f>
        <v>3.1421489806949914E-2</v>
      </c>
      <c r="AC85" s="487">
        <f>E85*'4C2 Open-burning '!$C$10*'4C2 Open-burning '!$C$11*$C$5*E$15</f>
        <v>1.9309866186636139E-2</v>
      </c>
      <c r="AD85" s="487">
        <f>F85*'4C2 Open-burning '!$C$10*'4C2 Open-burning '!$C$11*$C$5*F$15</f>
        <v>0</v>
      </c>
      <c r="AE85" s="487">
        <f>G85*'4C2 Open-burning '!$C$10*'4C2 Open-burning '!$C$11*$C$5*G$15</f>
        <v>0</v>
      </c>
      <c r="AF85" s="487">
        <f>H85*'4C2 Open-burning '!$C$10*'4C2 Open-burning '!$C$11*$C$5*H$15</f>
        <v>0</v>
      </c>
      <c r="AG85" s="487">
        <f>I85*'4C2 Open-burning '!$C$10*'4C2 Open-burning '!$C$11*$C$5*I$15</f>
        <v>7.5494942547629298E-2</v>
      </c>
      <c r="AH85" s="488">
        <f t="shared" ref="AH85:AH87" si="6">SUM(AA85:AG85)</f>
        <v>0.15631183333455312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841.74541487759461</v>
      </c>
      <c r="D86" s="528">
        <f>$B86*'Baseline data (from input)'!M72*'Baseline data (from input)'!$C72</f>
        <v>879.12331142872279</v>
      </c>
      <c r="E86" s="528">
        <f>$B86*'Baseline data (from input)'!N72*'Baseline data (from input)'!$C72</f>
        <v>240.11526448990736</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938.76818835854669</v>
      </c>
      <c r="J86" s="676">
        <f t="shared" si="3"/>
        <v>2899.7521791547715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1.2684425008049642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32.342441625328647</v>
      </c>
      <c r="R86" s="1374">
        <f t="shared" si="5"/>
        <v>33.610884126133612</v>
      </c>
      <c r="S86" s="484">
        <f>C86*'4C2 Open-burning '!$C$9*'4C2 Open-burning '!$C$11*$C$5</f>
        <v>3.2828071180226188</v>
      </c>
      <c r="T86" s="485">
        <f>D86*'4C2 Open-burning '!$C$9*'4C2 Open-burning '!$C$11*$C$5</f>
        <v>3.4285809145720187</v>
      </c>
      <c r="U86" s="485">
        <f>E86*'4C2 Open-burning '!$C$9*'4C2 Open-burning '!$C$11*$C$5</f>
        <v>0.9364495315106387</v>
      </c>
      <c r="V86" s="485">
        <f>F86*'4C2 Open-burning '!$C$9*'4C2 Open-burning '!$C$11*$C$5</f>
        <v>0</v>
      </c>
      <c r="W86" s="485">
        <f>G86*'4C2 Open-burning '!$C$9*'4C2 Open-burning '!$C$11*$C$5</f>
        <v>0</v>
      </c>
      <c r="X86" s="485">
        <f>H86*'4C2 Open-burning '!$C$9*'4C2 Open-burning '!$C$11*$C$5</f>
        <v>0</v>
      </c>
      <c r="Y86" s="485">
        <f>I86*'4C2 Open-burning '!$C$9*'4C2 Open-burning '!$C$11*$C$5</f>
        <v>3.6611959345983318</v>
      </c>
      <c r="Z86" s="486">
        <f t="shared" si="4"/>
        <v>11.309033498703608</v>
      </c>
      <c r="AA86" s="487">
        <f>C86*'4C2 Open-burning '!$C$10*'4C2 Open-burning '!$C$11*$C$5*C$15</f>
        <v>3.0302834935593406E-2</v>
      </c>
      <c r="AB86" s="487">
        <f>D86*'4C2 Open-burning '!$C$10*'4C2 Open-burning '!$C$11*$C$5*D$15</f>
        <v>3.1648439211434023E-2</v>
      </c>
      <c r="AC86" s="487">
        <f>E86*'4C2 Open-burning '!$C$10*'4C2 Open-burning '!$C$11*$C$5*E$15</f>
        <v>1.9449336423682493E-2</v>
      </c>
      <c r="AD86" s="487">
        <f>F86*'4C2 Open-burning '!$C$10*'4C2 Open-burning '!$C$11*$C$5*F$15</f>
        <v>0</v>
      </c>
      <c r="AE86" s="487">
        <f>G86*'4C2 Open-burning '!$C$10*'4C2 Open-burning '!$C$11*$C$5*G$15</f>
        <v>0</v>
      </c>
      <c r="AF86" s="487">
        <f>H86*'4C2 Open-burning '!$C$10*'4C2 Open-burning '!$C$11*$C$5*H$15</f>
        <v>0</v>
      </c>
      <c r="AG86" s="487">
        <f>I86*'4C2 Open-burning '!$C$10*'4C2 Open-burning '!$C$11*$C$5*I$15</f>
        <v>7.6040223257042266E-2</v>
      </c>
      <c r="AH86" s="488">
        <f t="shared" si="6"/>
        <v>0.1574408338277522</v>
      </c>
      <c r="AI86" s="1388"/>
      <c r="AJ86" s="418"/>
      <c r="AK86" s="528"/>
      <c r="AL86" s="528"/>
      <c r="AM86" s="775"/>
      <c r="AN86" s="775"/>
      <c r="AO86" s="775"/>
      <c r="AP86" s="775"/>
      <c r="AQ86" s="939"/>
      <c r="AR86" s="938"/>
      <c r="AS86" s="99"/>
    </row>
    <row r="87" spans="1:45" ht="15" thickBot="1">
      <c r="A87" s="489">
        <f>'Input data'!A117</f>
        <v>2017</v>
      </c>
      <c r="B87" s="1369">
        <f>'Baseline data (from input)'!V73</f>
        <v>0.12146828085607692</v>
      </c>
      <c r="C87" s="670">
        <f>$B87*'Baseline data (from input)'!L73*'Baseline data (from input)'!$C73</f>
        <v>845.54276388528001</v>
      </c>
      <c r="D87" s="667">
        <f>$B87*'Baseline data (from input)'!M73*'Baseline data (from input)'!$C73</f>
        <v>883.08928258256924</v>
      </c>
      <c r="E87" s="667">
        <f>$B87*'Baseline data (from input)'!N73*'Baseline data (from input)'!$C73</f>
        <v>241.19849160968144</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943.00323423524844</v>
      </c>
      <c r="J87" s="1371">
        <f t="shared" ref="J87" si="7">SUM(C87:I87)</f>
        <v>2912.8337723127793</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1.2741647997169676</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32.488347425872774</v>
      </c>
      <c r="R87" s="1377">
        <f t="shared" si="5"/>
        <v>33.762512225589745</v>
      </c>
      <c r="S87" s="490">
        <f>C87*'4C2 Open-burning '!$C$9*'4C2 Open-burning '!$C$11*$C$5</f>
        <v>3.2976167791525919</v>
      </c>
      <c r="T87" s="491">
        <f>D87*'4C2 Open-burning '!$C$9*'4C2 Open-burning '!$C$11*$C$5</f>
        <v>3.4440482020720196</v>
      </c>
      <c r="U87" s="491">
        <f>E87*'4C2 Open-burning '!$C$9*'4C2 Open-burning '!$C$11*$C$5</f>
        <v>0.94067411727775752</v>
      </c>
      <c r="V87" s="491">
        <f>F87*'4C2 Open-burning '!$C$9*'4C2 Open-burning '!$C$11*$C$5</f>
        <v>0</v>
      </c>
      <c r="W87" s="491">
        <f>G87*'4C2 Open-burning '!$C$9*'4C2 Open-burning '!$C$11*$C$5</f>
        <v>0</v>
      </c>
      <c r="X87" s="491">
        <f>H87*'4C2 Open-burning '!$C$9*'4C2 Open-burning '!$C$11*$C$5</f>
        <v>0</v>
      </c>
      <c r="Y87" s="491">
        <f>I87*'4C2 Open-burning '!$C$9*'4C2 Open-burning '!$C$11*$C$5</f>
        <v>3.6777126135174689</v>
      </c>
      <c r="Z87" s="492">
        <f t="shared" si="4"/>
        <v>11.360051712019837</v>
      </c>
      <c r="AA87" s="487">
        <f>C87*'4C2 Open-burning '!$C$10*'4C2 Open-burning '!$C$11*$C$5*C$15</f>
        <v>3.0439539499870077E-2</v>
      </c>
      <c r="AB87" s="487">
        <f>D87*'4C2 Open-burning '!$C$10*'4C2 Open-burning '!$C$11*$C$5*D$15</f>
        <v>3.1791214172972496E-2</v>
      </c>
      <c r="AC87" s="487">
        <f>E87*'4C2 Open-burning '!$C$10*'4C2 Open-burning '!$C$11*$C$5*E$15</f>
        <v>1.9537077820384195E-2</v>
      </c>
      <c r="AD87" s="487">
        <f>F87*'4C2 Open-burning '!$C$10*'4C2 Open-burning '!$C$11*$C$5*F$15</f>
        <v>0</v>
      </c>
      <c r="AE87" s="487">
        <f>G87*'4C2 Open-burning '!$C$10*'4C2 Open-burning '!$C$11*$C$5*G$15</f>
        <v>0</v>
      </c>
      <c r="AF87" s="487">
        <f>H87*'4C2 Open-burning '!$C$10*'4C2 Open-burning '!$C$11*$C$5*H$15</f>
        <v>0</v>
      </c>
      <c r="AG87" s="487">
        <f>I87*'4C2 Open-burning '!$C$10*'4C2 Open-burning '!$C$11*$C$5*I$15</f>
        <v>7.638326197305513E-2</v>
      </c>
      <c r="AH87" s="488">
        <f t="shared" si="6"/>
        <v>0.15815109346628189</v>
      </c>
      <c r="AI87" s="1388"/>
      <c r="AJ87" s="418"/>
      <c r="AK87" s="528"/>
      <c r="AL87" s="528"/>
      <c r="AM87" s="775"/>
      <c r="AN87" s="775"/>
      <c r="AO87" s="775"/>
      <c r="AP87" s="775"/>
      <c r="AQ87" s="939"/>
      <c r="AR87" s="938"/>
      <c r="AS87" s="99"/>
    </row>
    <row r="88" spans="1:45" ht="1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0.11927639464414229</v>
      </c>
      <c r="C89" s="956">
        <f>$B89*'Recycling - Case 1'!BM98*'Recycling - Case 1'!$AK98</f>
        <v>823.7051202898765</v>
      </c>
      <c r="D89" s="957">
        <f>$B89*'Recycling - Case 1'!BN98*'Recycling - Case 1'!$AK98</f>
        <v>860.28193345767602</v>
      </c>
      <c r="E89" s="957">
        <f>$B89*'Recycling - Case 1'!BO98*'Recycling - Case 1'!$AK98</f>
        <v>234.969112185608</v>
      </c>
      <c r="F89" s="957">
        <f>$B89*'Recycling - Case 1'!BP98*'Recycling - Case 1'!$AK98</f>
        <v>0</v>
      </c>
      <c r="G89" s="957">
        <f>$B89*'Recycling - Case 1'!BQ98*'Recycling - Case 1'!$AK98</f>
        <v>0</v>
      </c>
      <c r="H89" s="957">
        <f>$B89*'Recycling - Case 1'!BR98*'Recycling - Case 1'!$AK98</f>
        <v>0</v>
      </c>
      <c r="I89" s="957">
        <f>$B89*'Recycling - Case 1'!BS98*'Recycling - Case 1'!$AK98</f>
        <v>918.64850089932906</v>
      </c>
      <c r="J89" s="958">
        <f>SUM(C89:I89)</f>
        <v>2837.6046668324898</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1.2412572307961802</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31.649278152983683</v>
      </c>
      <c r="R89" s="1379">
        <f t="shared" ref="R89:R152" si="8">SUM(K89:Q89)</f>
        <v>32.890535383779863</v>
      </c>
      <c r="S89" s="485">
        <f>C89*'4C2 Open-burning '!$C$9*'4C2 Open-burning '!$C$11*$C$5</f>
        <v>3.2124499691305179</v>
      </c>
      <c r="T89" s="485">
        <f>D89*'4C2 Open-burning '!$C$9*'4C2 Open-burning '!$C$11*$C$5</f>
        <v>3.3550995404849364</v>
      </c>
      <c r="U89" s="485">
        <f>E89*'4C2 Open-burning '!$C$9*'4C2 Open-burning '!$C$11*$C$5</f>
        <v>0.91637953752387102</v>
      </c>
      <c r="V89" s="485">
        <f>F89*'4C2 Open-burning '!$C$9*'4C2 Open-burning '!$C$11*$C$5</f>
        <v>0</v>
      </c>
      <c r="W89" s="485">
        <f>G89*'4C2 Open-burning '!$C$9*'4C2 Open-burning '!$C$11*$C$5</f>
        <v>0</v>
      </c>
      <c r="X89" s="485">
        <f>H89*'4C2 Open-burning '!$C$9*'4C2 Open-burning '!$C$11*$C$5</f>
        <v>0</v>
      </c>
      <c r="Y89" s="485">
        <f>I89*'4C2 Open-burning '!$C$9*'4C2 Open-burning '!$C$11*$C$5</f>
        <v>3.5827291535073833</v>
      </c>
      <c r="Z89" s="486">
        <f t="shared" ref="Z89:Z152" si="9">SUM(S89:Y89)</f>
        <v>11.066658200646708</v>
      </c>
      <c r="AA89" s="487">
        <f>C89*'4C2 Open-burning '!$C$10*'4C2 Open-burning '!$C$11*$C$5*C$15</f>
        <v>2.9653384330435559E-2</v>
      </c>
      <c r="AB89" s="487">
        <f>D89*'4C2 Open-burning '!$C$10*'4C2 Open-burning '!$C$11*$C$5*D$15</f>
        <v>3.0970149604476332E-2</v>
      </c>
      <c r="AC89" s="487">
        <f>E89*'4C2 Open-burning '!$C$10*'4C2 Open-burning '!$C$11*$C$5*E$15</f>
        <v>1.9032498087034246E-2</v>
      </c>
      <c r="AD89" s="487">
        <f>F89*'4C2 Open-burning '!$C$10*'4C2 Open-burning '!$C$11*$C$5*F$15</f>
        <v>0</v>
      </c>
      <c r="AE89" s="487">
        <f>G89*'4C2 Open-burning '!$C$10*'4C2 Open-burning '!$C$11*$C$5*G$15</f>
        <v>0</v>
      </c>
      <c r="AF89" s="487">
        <f>H89*'4C2 Open-burning '!$C$10*'4C2 Open-burning '!$C$11*$C$5*H$15</f>
        <v>0</v>
      </c>
      <c r="AG89" s="487">
        <f>I89*'4C2 Open-burning '!$C$10*'4C2 Open-burning '!$C$11*$C$5*I$15</f>
        <v>7.4410528572845663E-2</v>
      </c>
      <c r="AH89" s="488">
        <f t="shared" ref="AH89:AH152" si="10">SUM(AA89:AG89)</f>
        <v>0.15406656059479179</v>
      </c>
      <c r="AI89" s="1388"/>
      <c r="AJ89" s="1388"/>
      <c r="AK89" s="1388"/>
      <c r="AQ89" s="99"/>
      <c r="AR89" s="99"/>
      <c r="AS89" s="99"/>
    </row>
    <row r="90" spans="1:45">
      <c r="A90" s="489">
        <f>'Input data'!A119</f>
        <v>2019</v>
      </c>
      <c r="B90" s="122">
        <f>'Recycling - Case 1'!AP99</f>
        <v>0.11721830498892895</v>
      </c>
      <c r="C90" s="527">
        <f>$B90*'Recycling - Case 1'!BM99*'Recycling - Case 1'!$AK99</f>
        <v>802.31695756603744</v>
      </c>
      <c r="D90" s="528">
        <f>$B90*'Recycling - Case 1'!BN99*'Recycling - Case 1'!$AK99</f>
        <v>837.94402450465611</v>
      </c>
      <c r="E90" s="528">
        <f>$B90*'Recycling - Case 1'!BO99*'Recycling - Case 1'!$AK99</f>
        <v>228.86795112358476</v>
      </c>
      <c r="F90" s="528">
        <f>$B90*'Recycling - Case 1'!BP99*'Recycling - Case 1'!$AK99</f>
        <v>0</v>
      </c>
      <c r="G90" s="528">
        <f>$B90*'Recycling - Case 1'!BQ99*'Recycling - Case 1'!$AK99</f>
        <v>0</v>
      </c>
      <c r="H90" s="528">
        <f>$B90*'Recycling - Case 1'!BR99*'Recycling - Case 1'!$AK99</f>
        <v>0</v>
      </c>
      <c r="I90" s="528">
        <f>$B90*'Recycling - Case 1'!BS99*'Recycling - Case 1'!$AK99</f>
        <v>894.79505730736616</v>
      </c>
      <c r="J90" s="744">
        <f t="shared" ref="J90:J121" si="11">SUM(C90:I90)</f>
        <v>2763.9239905016443</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1.2090269933234938</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30.827479314353376</v>
      </c>
      <c r="R90" s="1380">
        <f t="shared" si="8"/>
        <v>32.036506307676866</v>
      </c>
      <c r="S90" s="485">
        <f>C90*'4C2 Open-burning '!$C$9*'4C2 Open-burning '!$C$11*$C$5</f>
        <v>3.1290361345075461</v>
      </c>
      <c r="T90" s="485">
        <f>D90*'4C2 Open-burning '!$C$9*'4C2 Open-burning '!$C$11*$C$5</f>
        <v>3.2679816955681584</v>
      </c>
      <c r="U90" s="485">
        <f>E90*'4C2 Open-burning '!$C$9*'4C2 Open-burning '!$C$11*$C$5</f>
        <v>0.89258500938198038</v>
      </c>
      <c r="V90" s="485">
        <f>F90*'4C2 Open-burning '!$C$9*'4C2 Open-burning '!$C$11*$C$5</f>
        <v>0</v>
      </c>
      <c r="W90" s="485">
        <f>G90*'4C2 Open-burning '!$C$9*'4C2 Open-burning '!$C$11*$C$5</f>
        <v>0</v>
      </c>
      <c r="X90" s="485">
        <f>H90*'4C2 Open-burning '!$C$9*'4C2 Open-burning '!$C$11*$C$5</f>
        <v>0</v>
      </c>
      <c r="Y90" s="485">
        <f>I90*'4C2 Open-burning '!$C$9*'4C2 Open-burning '!$C$11*$C$5</f>
        <v>3.4897007234987276</v>
      </c>
      <c r="Z90" s="486">
        <f t="shared" si="9"/>
        <v>10.779303562956411</v>
      </c>
      <c r="AA90" s="487">
        <f>C90*'4C2 Open-burning '!$C$10*'4C2 Open-burning '!$C$11*$C$5*C$15</f>
        <v>2.8883410472377344E-2</v>
      </c>
      <c r="AB90" s="487">
        <f>D90*'4C2 Open-burning '!$C$10*'4C2 Open-burning '!$C$11*$C$5*D$15</f>
        <v>3.0165984882167613E-2</v>
      </c>
      <c r="AC90" s="487">
        <f>E90*'4C2 Open-burning '!$C$10*'4C2 Open-burning '!$C$11*$C$5*E$15</f>
        <v>1.8538304041010364E-2</v>
      </c>
      <c r="AD90" s="487">
        <f>F90*'4C2 Open-burning '!$C$10*'4C2 Open-burning '!$C$11*$C$5*F$15</f>
        <v>0</v>
      </c>
      <c r="AE90" s="487">
        <f>G90*'4C2 Open-burning '!$C$10*'4C2 Open-burning '!$C$11*$C$5*G$15</f>
        <v>0</v>
      </c>
      <c r="AF90" s="487">
        <f>H90*'4C2 Open-burning '!$C$10*'4C2 Open-burning '!$C$11*$C$5*H$15</f>
        <v>0</v>
      </c>
      <c r="AG90" s="487">
        <f>I90*'4C2 Open-burning '!$C$10*'4C2 Open-burning '!$C$11*$C$5*I$15</f>
        <v>7.247839964189666E-2</v>
      </c>
      <c r="AH90" s="488">
        <f t="shared" si="10"/>
        <v>0.15006609903745199</v>
      </c>
      <c r="AI90" s="1388"/>
      <c r="AJ90" s="1388"/>
      <c r="AK90" s="1388"/>
    </row>
    <row r="91" spans="1:45">
      <c r="A91" s="489">
        <f>'Input data'!A120</f>
        <v>2020</v>
      </c>
      <c r="B91" s="122">
        <f>'Recycling - Case 1'!AP100</f>
        <v>0.11503111051779556</v>
      </c>
      <c r="C91" s="527">
        <f>$B91*'Recycling - Case 1'!BM100*'Recycling - Case 1'!$AK100</f>
        <v>781.36446593254334</v>
      </c>
      <c r="D91" s="528">
        <f>$B91*'Recycling - Case 1'!BN100*'Recycling - Case 1'!$AK100</f>
        <v>816.06113271581444</v>
      </c>
      <c r="E91" s="528">
        <f>$B91*'Recycling - Case 1'!BO100*'Recycling - Case 1'!$AK100</f>
        <v>222.89106906236125</v>
      </c>
      <c r="F91" s="528">
        <f>$B91*'Recycling - Case 1'!BP100*'Recycling - Case 1'!$AK100</f>
        <v>0</v>
      </c>
      <c r="G91" s="528">
        <f>$B91*'Recycling - Case 1'!BQ100*'Recycling - Case 1'!$AK100</f>
        <v>0</v>
      </c>
      <c r="H91" s="528">
        <f>$B91*'Recycling - Case 1'!BR100*'Recycling - Case 1'!$AK100</f>
        <v>0</v>
      </c>
      <c r="I91" s="528">
        <f>$B91*'Recycling - Case 1'!BS100*'Recycling - Case 1'!$AK100</f>
        <v>871.42750191030689</v>
      </c>
      <c r="J91" s="744">
        <f t="shared" si="11"/>
        <v>2691.7441696210258</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1.177453277071592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30.022420295813891</v>
      </c>
      <c r="R91" s="1380">
        <f t="shared" si="8"/>
        <v>31.199873572885483</v>
      </c>
      <c r="S91" s="485">
        <f>C91*'4C2 Open-burning '!$C$9*'4C2 Open-burning '!$C$11*$C$5</f>
        <v>3.0473214171369185</v>
      </c>
      <c r="T91" s="485">
        <f>D91*'4C2 Open-burning '!$C$9*'4C2 Open-burning '!$C$11*$C$5</f>
        <v>3.1826384175916758</v>
      </c>
      <c r="U91" s="485">
        <f>E91*'4C2 Open-burning '!$C$9*'4C2 Open-burning '!$C$11*$C$5</f>
        <v>0.86927516934320881</v>
      </c>
      <c r="V91" s="485">
        <f>F91*'4C2 Open-burning '!$C$9*'4C2 Open-burning '!$C$11*$C$5</f>
        <v>0</v>
      </c>
      <c r="W91" s="485">
        <f>G91*'4C2 Open-burning '!$C$9*'4C2 Open-burning '!$C$11*$C$5</f>
        <v>0</v>
      </c>
      <c r="X91" s="485">
        <f>H91*'4C2 Open-burning '!$C$9*'4C2 Open-burning '!$C$11*$C$5</f>
        <v>0</v>
      </c>
      <c r="Y91" s="485">
        <f>I91*'4C2 Open-burning '!$C$9*'4C2 Open-burning '!$C$11*$C$5</f>
        <v>3.3985672574501966</v>
      </c>
      <c r="Z91" s="486">
        <f t="shared" si="9"/>
        <v>10.497802261522001</v>
      </c>
      <c r="AA91" s="487">
        <f>C91*'4C2 Open-burning '!$C$10*'4C2 Open-burning '!$C$11*$C$5*C$15</f>
        <v>2.8129120773571555E-2</v>
      </c>
      <c r="AB91" s="487">
        <f>D91*'4C2 Open-burning '!$C$10*'4C2 Open-burning '!$C$11*$C$5*D$15</f>
        <v>2.9378200777769321E-2</v>
      </c>
      <c r="AC91" s="487">
        <f>E91*'4C2 Open-burning '!$C$10*'4C2 Open-burning '!$C$11*$C$5*E$15</f>
        <v>1.8054176594051261E-2</v>
      </c>
      <c r="AD91" s="487">
        <f>F91*'4C2 Open-burning '!$C$10*'4C2 Open-burning '!$C$11*$C$5*F$15</f>
        <v>0</v>
      </c>
      <c r="AE91" s="487">
        <f>G91*'4C2 Open-burning '!$C$10*'4C2 Open-burning '!$C$11*$C$5*G$15</f>
        <v>0</v>
      </c>
      <c r="AF91" s="487">
        <f>H91*'4C2 Open-burning '!$C$10*'4C2 Open-burning '!$C$11*$C$5*H$15</f>
        <v>0</v>
      </c>
      <c r="AG91" s="487">
        <f>I91*'4C2 Open-burning '!$C$10*'4C2 Open-burning '!$C$11*$C$5*I$15</f>
        <v>7.0585627654734848E-2</v>
      </c>
      <c r="AH91" s="488">
        <f t="shared" si="10"/>
        <v>0.14614712580012698</v>
      </c>
      <c r="AI91" s="1388"/>
      <c r="AJ91" s="1388"/>
      <c r="AK91" s="1388"/>
    </row>
    <row r="92" spans="1:45">
      <c r="A92" s="489">
        <f>'Input data'!A121</f>
        <v>2021</v>
      </c>
      <c r="B92" s="122">
        <f>'Recycling - Case 1'!AP101</f>
        <v>0.11293450569348315</v>
      </c>
      <c r="C92" s="527">
        <f>$B92*'Recycling - Case 1'!BM101*'Recycling - Case 1'!$AK101</f>
        <v>761.23303523036168</v>
      </c>
      <c r="D92" s="528">
        <f>$B92*'Recycling - Case 1'!BN101*'Recycling - Case 1'!$AK101</f>
        <v>795.0357612556403</v>
      </c>
      <c r="E92" s="528">
        <f>$B92*'Recycling - Case 1'!BO101*'Recycling - Case 1'!$AK101</f>
        <v>217.14840183521929</v>
      </c>
      <c r="F92" s="528">
        <f>$B92*'Recycling - Case 1'!BP101*'Recycling - Case 1'!$AK101</f>
        <v>0</v>
      </c>
      <c r="G92" s="528">
        <f>$B92*'Recycling - Case 1'!BQ101*'Recycling - Case 1'!$AK101</f>
        <v>0</v>
      </c>
      <c r="H92" s="528">
        <f>$B92*'Recycling - Case 1'!BR101*'Recycling - Case 1'!$AK101</f>
        <v>0</v>
      </c>
      <c r="I92" s="528">
        <f>$B92*'Recycling - Case 1'!BS101*'Recycling - Case 1'!$AK101</f>
        <v>848.97564604590525</v>
      </c>
      <c r="J92" s="744">
        <f t="shared" si="11"/>
        <v>2622.3928443671266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1.1471168334708028</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29.248908957573526</v>
      </c>
      <c r="R92" s="1380">
        <f t="shared" si="8"/>
        <v>30.39602579104433</v>
      </c>
      <c r="S92" s="485">
        <f>C92*'4C2 Open-burning '!$C$9*'4C2 Open-burning '!$C$11*$C$5</f>
        <v>2.9688088373984098</v>
      </c>
      <c r="T92" s="485">
        <f>D92*'4C2 Open-burning '!$C$9*'4C2 Open-burning '!$C$11*$C$5</f>
        <v>3.1006394688969969</v>
      </c>
      <c r="U92" s="485">
        <f>E92*'4C2 Open-burning '!$C$9*'4C2 Open-burning '!$C$11*$C$5</f>
        <v>0.84687876715735522</v>
      </c>
      <c r="V92" s="485">
        <f>F92*'4C2 Open-burning '!$C$9*'4C2 Open-burning '!$C$11*$C$5</f>
        <v>0</v>
      </c>
      <c r="W92" s="485">
        <f>G92*'4C2 Open-burning '!$C$9*'4C2 Open-burning '!$C$11*$C$5</f>
        <v>0</v>
      </c>
      <c r="X92" s="485">
        <f>H92*'4C2 Open-burning '!$C$9*'4C2 Open-burning '!$C$11*$C$5</f>
        <v>0</v>
      </c>
      <c r="Y92" s="485">
        <f>I92*'4C2 Open-burning '!$C$9*'4C2 Open-burning '!$C$11*$C$5</f>
        <v>3.3110050195790297</v>
      </c>
      <c r="Z92" s="486">
        <f t="shared" si="9"/>
        <v>10.227332093031791</v>
      </c>
      <c r="AA92" s="487">
        <f>C92*'4C2 Open-burning '!$C$10*'4C2 Open-burning '!$C$11*$C$5*C$15</f>
        <v>2.7404389268293017E-2</v>
      </c>
      <c r="AB92" s="487">
        <f>D92*'4C2 Open-burning '!$C$10*'4C2 Open-burning '!$C$11*$C$5*D$15</f>
        <v>2.862128740520305E-2</v>
      </c>
      <c r="AC92" s="487">
        <f>E92*'4C2 Open-burning '!$C$10*'4C2 Open-burning '!$C$11*$C$5*E$15</f>
        <v>1.7589020548652759E-2</v>
      </c>
      <c r="AD92" s="487">
        <f>F92*'4C2 Open-burning '!$C$10*'4C2 Open-burning '!$C$11*$C$5*F$15</f>
        <v>0</v>
      </c>
      <c r="AE92" s="487">
        <f>G92*'4C2 Open-burning '!$C$10*'4C2 Open-burning '!$C$11*$C$5*G$15</f>
        <v>0</v>
      </c>
      <c r="AF92" s="487">
        <f>H92*'4C2 Open-burning '!$C$10*'4C2 Open-burning '!$C$11*$C$5*H$15</f>
        <v>0</v>
      </c>
      <c r="AG92" s="487">
        <f>I92*'4C2 Open-burning '!$C$10*'4C2 Open-burning '!$C$11*$C$5*I$15</f>
        <v>6.8767027329718317E-2</v>
      </c>
      <c r="AH92" s="488">
        <f t="shared" si="10"/>
        <v>0.14238172455186715</v>
      </c>
      <c r="AI92" s="1388"/>
      <c r="AJ92" s="1388"/>
      <c r="AK92" s="1388"/>
    </row>
    <row r="93" spans="1:45">
      <c r="A93" s="489">
        <f>'Input data'!A122</f>
        <v>2022</v>
      </c>
      <c r="B93" s="122">
        <f>'Recycling - Case 1'!AP102</f>
        <v>0.11075765008363513</v>
      </c>
      <c r="C93" s="527">
        <f>$B93*'Recycling - Case 1'!BM102*'Recycling - Case 1'!$AK102</f>
        <v>741.6990468360334</v>
      </c>
      <c r="D93" s="528">
        <f>$B93*'Recycling - Case 1'!BN102*'Recycling - Case 1'!$AK102</f>
        <v>774.63436166485167</v>
      </c>
      <c r="E93" s="528">
        <f>$B93*'Recycling - Case 1'!BO102*'Recycling - Case 1'!$AK102</f>
        <v>211.57616026794096</v>
      </c>
      <c r="F93" s="528">
        <f>$B93*'Recycling - Case 1'!BP102*'Recycling - Case 1'!$AK102</f>
        <v>0</v>
      </c>
      <c r="G93" s="528">
        <f>$B93*'Recycling - Case 1'!BQ102*'Recycling - Case 1'!$AK102</f>
        <v>0</v>
      </c>
      <c r="H93" s="528">
        <f>$B93*'Recycling - Case 1'!BR102*'Recycling - Case 1'!$AK102</f>
        <v>0</v>
      </c>
      <c r="I93" s="528">
        <f>$B93*'Recycling - Case 1'!BS102*'Recycling - Case 1'!$AK102</f>
        <v>827.19009595885541</v>
      </c>
      <c r="J93" s="744">
        <f t="shared" si="11"/>
        <v>2555.0996647276816</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1.1176806872778355</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28.498353185974484</v>
      </c>
      <c r="R93" s="1380">
        <f t="shared" si="8"/>
        <v>29.61603387325232</v>
      </c>
      <c r="S93" s="485">
        <f>C93*'4C2 Open-burning '!$C$9*'4C2 Open-burning '!$C$11*$C$5</f>
        <v>2.8926262826605305</v>
      </c>
      <c r="T93" s="485">
        <f>D93*'4C2 Open-burning '!$C$9*'4C2 Open-burning '!$C$11*$C$5</f>
        <v>3.0210740104929212</v>
      </c>
      <c r="U93" s="485">
        <f>E93*'4C2 Open-burning '!$C$9*'4C2 Open-burning '!$C$11*$C$5</f>
        <v>0.82514702504496973</v>
      </c>
      <c r="V93" s="485">
        <f>F93*'4C2 Open-burning '!$C$9*'4C2 Open-burning '!$C$11*$C$5</f>
        <v>0</v>
      </c>
      <c r="W93" s="485">
        <f>G93*'4C2 Open-burning '!$C$9*'4C2 Open-burning '!$C$11*$C$5</f>
        <v>0</v>
      </c>
      <c r="X93" s="485">
        <f>H93*'4C2 Open-burning '!$C$9*'4C2 Open-burning '!$C$11*$C$5</f>
        <v>0</v>
      </c>
      <c r="Y93" s="485">
        <f>I93*'4C2 Open-burning '!$C$9*'4C2 Open-burning '!$C$11*$C$5</f>
        <v>3.2260413742395357</v>
      </c>
      <c r="Z93" s="486">
        <f t="shared" si="9"/>
        <v>9.9648886924379578</v>
      </c>
      <c r="AA93" s="487">
        <f>C93*'4C2 Open-burning '!$C$10*'4C2 Open-burning '!$C$11*$C$5*C$15</f>
        <v>2.6701165686097202E-2</v>
      </c>
      <c r="AB93" s="487">
        <f>D93*'4C2 Open-burning '!$C$10*'4C2 Open-burning '!$C$11*$C$5*D$15</f>
        <v>2.7886837019934659E-2</v>
      </c>
      <c r="AC93" s="487">
        <f>E93*'4C2 Open-burning '!$C$10*'4C2 Open-burning '!$C$11*$C$5*E$15</f>
        <v>1.7137668981703217E-2</v>
      </c>
      <c r="AD93" s="487">
        <f>F93*'4C2 Open-burning '!$C$10*'4C2 Open-burning '!$C$11*$C$5*F$15</f>
        <v>0</v>
      </c>
      <c r="AE93" s="487">
        <f>G93*'4C2 Open-burning '!$C$10*'4C2 Open-burning '!$C$11*$C$5*G$15</f>
        <v>0</v>
      </c>
      <c r="AF93" s="487">
        <f>H93*'4C2 Open-burning '!$C$10*'4C2 Open-burning '!$C$11*$C$5*H$15</f>
        <v>0</v>
      </c>
      <c r="AG93" s="487">
        <f>I93*'4C2 Open-burning '!$C$10*'4C2 Open-burning '!$C$11*$C$5*I$15</f>
        <v>6.7002397772667283E-2</v>
      </c>
      <c r="AH93" s="488">
        <f t="shared" si="10"/>
        <v>0.13872806946040236</v>
      </c>
      <c r="AI93" s="1388"/>
      <c r="AJ93" s="1388"/>
      <c r="AK93" s="1388"/>
    </row>
    <row r="94" spans="1:45">
      <c r="A94" s="489">
        <f>'Input data'!A123</f>
        <v>2023</v>
      </c>
      <c r="B94" s="122">
        <f>'Recycling - Case 1'!AP103</f>
        <v>0.10850916551723899</v>
      </c>
      <c r="C94" s="527">
        <f>$B94*'Recycling - Case 1'!BM103*'Recycling - Case 1'!$AK103</f>
        <v>722.7394717698229</v>
      </c>
      <c r="D94" s="528">
        <f>$B94*'Recycling - Case 1'!BN103*'Recycling - Case 1'!$AK103</f>
        <v>754.83288235663065</v>
      </c>
      <c r="E94" s="528">
        <f>$B94*'Recycling - Case 1'!BO103*'Recycling - Case 1'!$AK103</f>
        <v>206.16777514201607</v>
      </c>
      <c r="F94" s="528">
        <f>$B94*'Recycling - Case 1'!BP103*'Recycling - Case 1'!$AK103</f>
        <v>0</v>
      </c>
      <c r="G94" s="528">
        <f>$B94*'Recycling - Case 1'!BQ103*'Recycling - Case 1'!$AK103</f>
        <v>0</v>
      </c>
      <c r="H94" s="528">
        <f>$B94*'Recycling - Case 1'!BR103*'Recycling - Case 1'!$AK103</f>
        <v>0</v>
      </c>
      <c r="I94" s="528">
        <f>$B94*'Recycling - Case 1'!BS103*'Recycling - Case 1'!$AK103</f>
        <v>806.04516826175279</v>
      </c>
      <c r="J94" s="744">
        <f t="shared" si="11"/>
        <v>2489.7852975302226</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1.0891101356762198</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27.769868136953903</v>
      </c>
      <c r="R94" s="1380">
        <f t="shared" si="8"/>
        <v>28.858978272630122</v>
      </c>
      <c r="S94" s="485">
        <f>C94*'4C2 Open-burning '!$C$9*'4C2 Open-burning '!$C$11*$C$5</f>
        <v>2.8186839399023094</v>
      </c>
      <c r="T94" s="485">
        <f>D94*'4C2 Open-burning '!$C$9*'4C2 Open-burning '!$C$11*$C$5</f>
        <v>2.9438482411908589</v>
      </c>
      <c r="U94" s="485">
        <f>E94*'4C2 Open-burning '!$C$9*'4C2 Open-burning '!$C$11*$C$5</f>
        <v>0.8040543230538626</v>
      </c>
      <c r="V94" s="485">
        <f>F94*'4C2 Open-burning '!$C$9*'4C2 Open-burning '!$C$11*$C$5</f>
        <v>0</v>
      </c>
      <c r="W94" s="485">
        <f>G94*'4C2 Open-burning '!$C$9*'4C2 Open-burning '!$C$11*$C$5</f>
        <v>0</v>
      </c>
      <c r="X94" s="485">
        <f>H94*'4C2 Open-burning '!$C$9*'4C2 Open-burning '!$C$11*$C$5</f>
        <v>0</v>
      </c>
      <c r="Y94" s="485">
        <f>I94*'4C2 Open-burning '!$C$9*'4C2 Open-burning '!$C$11*$C$5</f>
        <v>3.1435761562208357</v>
      </c>
      <c r="Z94" s="486">
        <f t="shared" si="9"/>
        <v>9.7101626603678675</v>
      </c>
      <c r="AA94" s="487">
        <f>C94*'4C2 Open-burning '!$C$10*'4C2 Open-burning '!$C$11*$C$5*C$15</f>
        <v>2.601862098371362E-2</v>
      </c>
      <c r="AB94" s="487">
        <f>D94*'4C2 Open-burning '!$C$10*'4C2 Open-burning '!$C$11*$C$5*D$15</f>
        <v>2.7173983764838702E-2</v>
      </c>
      <c r="AC94" s="487">
        <f>E94*'4C2 Open-burning '!$C$10*'4C2 Open-burning '!$C$11*$C$5*E$15</f>
        <v>1.6699589786503301E-2</v>
      </c>
      <c r="AD94" s="487">
        <f>F94*'4C2 Open-burning '!$C$10*'4C2 Open-burning '!$C$11*$C$5*F$15</f>
        <v>0</v>
      </c>
      <c r="AE94" s="487">
        <f>G94*'4C2 Open-burning '!$C$10*'4C2 Open-burning '!$C$11*$C$5*G$15</f>
        <v>0</v>
      </c>
      <c r="AF94" s="487">
        <f>H94*'4C2 Open-burning '!$C$10*'4C2 Open-burning '!$C$11*$C$5*H$15</f>
        <v>0</v>
      </c>
      <c r="AG94" s="487">
        <f>I94*'4C2 Open-burning '!$C$10*'4C2 Open-burning '!$C$11*$C$5*I$15</f>
        <v>6.5289658629201969E-2</v>
      </c>
      <c r="AH94" s="488">
        <f t="shared" si="10"/>
        <v>0.1351818531642576</v>
      </c>
      <c r="AI94" s="1388"/>
      <c r="AJ94" s="1388"/>
      <c r="AK94" s="1388"/>
    </row>
    <row r="95" spans="1:45">
      <c r="A95" s="489">
        <f>'Input data'!A124</f>
        <v>2024</v>
      </c>
      <c r="B95" s="122">
        <f>'Recycling - Case 1'!AP104</f>
        <v>0.10619997493451507</v>
      </c>
      <c r="C95" s="527">
        <f>$B95*'Recycling - Case 1'!BM104*'Recycling - Case 1'!$AK104</f>
        <v>704.33672628337774</v>
      </c>
      <c r="D95" s="528">
        <f>$B95*'Recycling - Case 1'!BN104*'Recycling - Case 1'!$AK104</f>
        <v>735.61295877228156</v>
      </c>
      <c r="E95" s="528">
        <f>$B95*'Recycling - Case 1'!BO104*'Recycling - Case 1'!$AK104</f>
        <v>200.91823053895962</v>
      </c>
      <c r="F95" s="528">
        <f>$B95*'Recycling - Case 1'!BP104*'Recycling - Case 1'!$AK104</f>
        <v>0</v>
      </c>
      <c r="G95" s="528">
        <f>$B95*'Recycling - Case 1'!BQ104*'Recycling - Case 1'!$AK104</f>
        <v>0</v>
      </c>
      <c r="H95" s="528">
        <f>$B95*'Recycling - Case 1'!BR104*'Recycling - Case 1'!$AK104</f>
        <v>0</v>
      </c>
      <c r="I95" s="528">
        <f>$B95*'Recycling - Case 1'!BS104*'Recycling - Case 1'!$AK104</f>
        <v>785.52125243662681</v>
      </c>
      <c r="J95" s="744">
        <f t="shared" si="11"/>
        <v>2426.3891680312454</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1.0613786813743296</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27.062778188946663</v>
      </c>
      <c r="R95" s="1380">
        <f t="shared" si="8"/>
        <v>28.124156870320991</v>
      </c>
      <c r="S95" s="485">
        <f>C95*'4C2 Open-burning '!$C$9*'4C2 Open-burning '!$C$11*$C$5</f>
        <v>2.7469132325051731</v>
      </c>
      <c r="T95" s="485">
        <f>D95*'4C2 Open-burning '!$C$9*'4C2 Open-burning '!$C$11*$C$5</f>
        <v>2.8688905392118977</v>
      </c>
      <c r="U95" s="485">
        <f>E95*'4C2 Open-burning '!$C$9*'4C2 Open-burning '!$C$11*$C$5</f>
        <v>0.7835810991019424</v>
      </c>
      <c r="V95" s="485">
        <f>F95*'4C2 Open-burning '!$C$9*'4C2 Open-burning '!$C$11*$C$5</f>
        <v>0</v>
      </c>
      <c r="W95" s="485">
        <f>G95*'4C2 Open-burning '!$C$9*'4C2 Open-burning '!$C$11*$C$5</f>
        <v>0</v>
      </c>
      <c r="X95" s="485">
        <f>H95*'4C2 Open-burning '!$C$9*'4C2 Open-burning '!$C$11*$C$5</f>
        <v>0</v>
      </c>
      <c r="Y95" s="485">
        <f>I95*'4C2 Open-burning '!$C$9*'4C2 Open-burning '!$C$11*$C$5</f>
        <v>3.0635328845028442</v>
      </c>
      <c r="Z95" s="486">
        <f t="shared" si="9"/>
        <v>9.4629177553218575</v>
      </c>
      <c r="AA95" s="487">
        <f>C95*'4C2 Open-burning '!$C$10*'4C2 Open-burning '!$C$11*$C$5*C$15</f>
        <v>2.5356122146201594E-2</v>
      </c>
      <c r="AB95" s="487">
        <f>D95*'4C2 Open-burning '!$C$10*'4C2 Open-burning '!$C$11*$C$5*D$15</f>
        <v>2.6482066515802136E-2</v>
      </c>
      <c r="AC95" s="487">
        <f>E95*'4C2 Open-burning '!$C$10*'4C2 Open-burning '!$C$11*$C$5*E$15</f>
        <v>1.6274376673655729E-2</v>
      </c>
      <c r="AD95" s="487">
        <f>F95*'4C2 Open-burning '!$C$10*'4C2 Open-burning '!$C$11*$C$5*F$15</f>
        <v>0</v>
      </c>
      <c r="AE95" s="487">
        <f>G95*'4C2 Open-burning '!$C$10*'4C2 Open-burning '!$C$11*$C$5*G$15</f>
        <v>0</v>
      </c>
      <c r="AF95" s="487">
        <f>H95*'4C2 Open-burning '!$C$10*'4C2 Open-burning '!$C$11*$C$5*H$15</f>
        <v>0</v>
      </c>
      <c r="AG95" s="487">
        <f>I95*'4C2 Open-burning '!$C$10*'4C2 Open-burning '!$C$11*$C$5*I$15</f>
        <v>6.3627221447366766E-2</v>
      </c>
      <c r="AH95" s="488">
        <f t="shared" si="10"/>
        <v>0.13173978678302622</v>
      </c>
      <c r="AI95" s="1388"/>
      <c r="AJ95" s="1388"/>
      <c r="AK95" s="1388"/>
    </row>
    <row r="96" spans="1:45">
      <c r="A96" s="489">
        <f>'Input data'!A125</f>
        <v>2025</v>
      </c>
      <c r="B96" s="122">
        <f>'Recycling - Case 1'!AP105</f>
        <v>0.10384012632358181</v>
      </c>
      <c r="C96" s="527">
        <f>$B96*'Recycling - Case 1'!BM105*'Recycling - Case 1'!$AK105</f>
        <v>686.47249682483255</v>
      </c>
      <c r="D96" s="528">
        <f>$B96*'Recycling - Case 1'!BN105*'Recycling - Case 1'!$AK105</f>
        <v>716.95546414250373</v>
      </c>
      <c r="E96" s="528">
        <f>$B96*'Recycling - Case 1'!BO105*'Recycling - Case 1'!$AK105</f>
        <v>195.82230235743128</v>
      </c>
      <c r="F96" s="528">
        <f>$B96*'Recycling - Case 1'!BP105*'Recycling - Case 1'!$AK105</f>
        <v>0</v>
      </c>
      <c r="G96" s="528">
        <f>$B96*'Recycling - Case 1'!BQ105*'Recycling - Case 1'!$AK105</f>
        <v>0</v>
      </c>
      <c r="H96" s="528">
        <f>$B96*'Recycling - Case 1'!BR105*'Recycling - Case 1'!$AK105</f>
        <v>0</v>
      </c>
      <c r="I96" s="528">
        <f>$B96*'Recycling - Case 1'!BS105*'Recycling - Case 1'!$AK105</f>
        <v>765.5979240420686</v>
      </c>
      <c r="J96" s="744">
        <f t="shared" si="11"/>
        <v>2364.8481873668361</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1.0344587273254608</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26.376379679097344</v>
      </c>
      <c r="R96" s="1380">
        <f t="shared" si="8"/>
        <v>27.410838406422805</v>
      </c>
      <c r="S96" s="485">
        <f>C96*'4C2 Open-burning '!$C$9*'4C2 Open-burning '!$C$11*$C$5</f>
        <v>2.6772427376168464</v>
      </c>
      <c r="T96" s="485">
        <f>D96*'4C2 Open-burning '!$C$9*'4C2 Open-burning '!$C$11*$C$5</f>
        <v>2.7961263101557647</v>
      </c>
      <c r="U96" s="485">
        <f>E96*'4C2 Open-burning '!$C$9*'4C2 Open-burning '!$C$11*$C$5</f>
        <v>0.76370697919398201</v>
      </c>
      <c r="V96" s="485">
        <f>F96*'4C2 Open-burning '!$C$9*'4C2 Open-burning '!$C$11*$C$5</f>
        <v>0</v>
      </c>
      <c r="W96" s="485">
        <f>G96*'4C2 Open-burning '!$C$9*'4C2 Open-burning '!$C$11*$C$5</f>
        <v>0</v>
      </c>
      <c r="X96" s="485">
        <f>H96*'4C2 Open-burning '!$C$9*'4C2 Open-burning '!$C$11*$C$5</f>
        <v>0</v>
      </c>
      <c r="Y96" s="485">
        <f>I96*'4C2 Open-burning '!$C$9*'4C2 Open-burning '!$C$11*$C$5</f>
        <v>2.9858319037640668</v>
      </c>
      <c r="Z96" s="486">
        <f t="shared" si="9"/>
        <v>9.2229079307306598</v>
      </c>
      <c r="AA96" s="487">
        <f>C96*'4C2 Open-burning '!$C$10*'4C2 Open-burning '!$C$11*$C$5*C$15</f>
        <v>2.4713009885693971E-2</v>
      </c>
      <c r="AB96" s="487">
        <f>D96*'4C2 Open-burning '!$C$10*'4C2 Open-burning '!$C$11*$C$5*D$15</f>
        <v>2.5810396709130129E-2</v>
      </c>
      <c r="AC96" s="487">
        <f>E96*'4C2 Open-burning '!$C$10*'4C2 Open-burning '!$C$11*$C$5*E$15</f>
        <v>1.5861606490951932E-2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6.2013431847407548E-2</v>
      </c>
      <c r="AH96" s="488">
        <f t="shared" si="10"/>
        <v>0.12839844493318359</v>
      </c>
      <c r="AI96" s="1388"/>
      <c r="AJ96" s="1388"/>
      <c r="AK96" s="1388"/>
    </row>
    <row r="97" spans="1:37">
      <c r="A97" s="489">
        <f>'Input data'!A126</f>
        <v>2026</v>
      </c>
      <c r="B97" s="122">
        <f>'Recycling - Case 1'!AP106</f>
        <v>0.10153608951065542</v>
      </c>
      <c r="C97" s="527">
        <f>$B97*'Recycling - Case 1'!BM106*'Recycling - Case 1'!$AK106</f>
        <v>669.438084040886</v>
      </c>
      <c r="D97" s="528">
        <f>$B97*'Recycling - Case 1'!BN106*'Recycling - Case 1'!$AK106</f>
        <v>699.16463438545122</v>
      </c>
      <c r="E97" s="528">
        <f>$B97*'Recycling - Case 1'!BO106*'Recycling - Case 1'!$AK106</f>
        <v>190.96308666257377</v>
      </c>
      <c r="F97" s="528">
        <f>$B97*'Recycling - Case 1'!BP106*'Recycling - Case 1'!$AK106</f>
        <v>0</v>
      </c>
      <c r="G97" s="528">
        <f>$B97*'Recycling - Case 1'!BQ106*'Recycling - Case 1'!$AK106</f>
        <v>0</v>
      </c>
      <c r="H97" s="528">
        <f>$B97*'Recycling - Case 1'!BR106*'Recycling - Case 1'!$AK106</f>
        <v>0</v>
      </c>
      <c r="I97" s="528">
        <f>$B97*'Recycling - Case 1'!BS106*'Recycling - Case 1'!$AK106</f>
        <v>746.60006014368003</v>
      </c>
      <c r="J97" s="744">
        <f t="shared" si="11"/>
        <v>2306.1658652325909</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1.0087892401271787</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25.721865272070062</v>
      </c>
      <c r="R97" s="1380">
        <f t="shared" si="8"/>
        <v>26.730654512197241</v>
      </c>
      <c r="S97" s="485">
        <f>C97*'4C2 Open-burning '!$C$9*'4C2 Open-burning '!$C$11*$C$5</f>
        <v>2.6108085277594548</v>
      </c>
      <c r="T97" s="485">
        <f>D97*'4C2 Open-burning '!$C$9*'4C2 Open-burning '!$C$11*$C$5</f>
        <v>2.7267420741032597</v>
      </c>
      <c r="U97" s="485">
        <f>E97*'4C2 Open-burning '!$C$9*'4C2 Open-burning '!$C$11*$C$5</f>
        <v>0.74475603798403767</v>
      </c>
      <c r="V97" s="485">
        <f>F97*'4C2 Open-burning '!$C$9*'4C2 Open-burning '!$C$11*$C$5</f>
        <v>0</v>
      </c>
      <c r="W97" s="485">
        <f>G97*'4C2 Open-burning '!$C$9*'4C2 Open-burning '!$C$11*$C$5</f>
        <v>0</v>
      </c>
      <c r="X97" s="485">
        <f>H97*'4C2 Open-burning '!$C$9*'4C2 Open-burning '!$C$11*$C$5</f>
        <v>0</v>
      </c>
      <c r="Y97" s="485">
        <f>I97*'4C2 Open-burning '!$C$9*'4C2 Open-burning '!$C$11*$C$5</f>
        <v>2.9117402345603525</v>
      </c>
      <c r="Z97" s="486">
        <f t="shared" si="9"/>
        <v>8.994046874407104</v>
      </c>
      <c r="AA97" s="487">
        <f>C97*'4C2 Open-burning '!$C$10*'4C2 Open-burning '!$C$11*$C$5*C$15</f>
        <v>2.4099771025471894E-2</v>
      </c>
      <c r="AB97" s="487">
        <f>D97*'4C2 Open-burning '!$C$10*'4C2 Open-burning '!$C$11*$C$5*D$15</f>
        <v>2.5169926837876246E-2</v>
      </c>
      <c r="AC97" s="487">
        <f>E97*'4C2 Open-burning '!$C$10*'4C2 Open-burning '!$C$11*$C$5*E$15</f>
        <v>1.5468010019668472E-2</v>
      </c>
      <c r="AD97" s="487">
        <f>F97*'4C2 Open-burning '!$C$10*'4C2 Open-burning '!$C$11*$C$5*F$15</f>
        <v>0</v>
      </c>
      <c r="AE97" s="487">
        <f>G97*'4C2 Open-burning '!$C$10*'4C2 Open-burning '!$C$11*$C$5*G$15</f>
        <v>0</v>
      </c>
      <c r="AF97" s="487">
        <f>H97*'4C2 Open-burning '!$C$10*'4C2 Open-burning '!$C$11*$C$5*H$15</f>
        <v>0</v>
      </c>
      <c r="AG97" s="487">
        <f>I97*'4C2 Open-burning '!$C$10*'4C2 Open-burning '!$C$11*$C$5*I$15</f>
        <v>6.0474604871638075E-2</v>
      </c>
      <c r="AH97" s="488">
        <f t="shared" si="10"/>
        <v>0.12521231275465469</v>
      </c>
      <c r="AI97" s="1388"/>
      <c r="AJ97" s="1388"/>
      <c r="AK97" s="1388"/>
    </row>
    <row r="98" spans="1:37">
      <c r="A98" s="489">
        <f>'Input data'!A127</f>
        <v>2027</v>
      </c>
      <c r="B98" s="122">
        <f>'Recycling - Case 1'!AP107</f>
        <v>9.9207324683238174E-2</v>
      </c>
      <c r="C98" s="527">
        <f>$B98*'Recycling - Case 1'!BM107*'Recycling - Case 1'!$AK107</f>
        <v>652.96698525522345</v>
      </c>
      <c r="D98" s="528">
        <f>$B98*'Recycling - Case 1'!BN107*'Recycling - Case 1'!$AK107</f>
        <v>681.96213271286786</v>
      </c>
      <c r="E98" s="528">
        <f>$B98*'Recycling - Case 1'!BO107*'Recycling - Case 1'!$AK107</f>
        <v>186.2645612278568</v>
      </c>
      <c r="F98" s="528">
        <f>$B98*'Recycling - Case 1'!BP107*'Recycling - Case 1'!$AK107</f>
        <v>0</v>
      </c>
      <c r="G98" s="528">
        <f>$B98*'Recycling - Case 1'!BQ107*'Recycling - Case 1'!$AK107</f>
        <v>0</v>
      </c>
      <c r="H98" s="528">
        <f>$B98*'Recycling - Case 1'!BR107*'Recycling - Case 1'!$AK107</f>
        <v>0</v>
      </c>
      <c r="I98" s="528">
        <f>$B98*'Recycling - Case 1'!BS107*'Recycling - Case 1'!$AK107</f>
        <v>728.23043995449302</v>
      </c>
      <c r="J98" s="744">
        <f t="shared" si="11"/>
        <v>2249.4241191504411</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0.98396862172472543</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25.088995117312191</v>
      </c>
      <c r="R98" s="1380">
        <f t="shared" si="8"/>
        <v>26.072963739036915</v>
      </c>
      <c r="S98" s="485">
        <f>C98*'4C2 Open-burning '!$C$9*'4C2 Open-burning '!$C$11*$C$5</f>
        <v>2.546571242495371</v>
      </c>
      <c r="T98" s="485">
        <f>D98*'4C2 Open-burning '!$C$9*'4C2 Open-burning '!$C$11*$C$5</f>
        <v>2.6596523175801843</v>
      </c>
      <c r="U98" s="485">
        <f>E98*'4C2 Open-burning '!$C$9*'4C2 Open-burning '!$C$11*$C$5</f>
        <v>0.72643178878864145</v>
      </c>
      <c r="V98" s="485">
        <f>F98*'4C2 Open-burning '!$C$9*'4C2 Open-burning '!$C$11*$C$5</f>
        <v>0</v>
      </c>
      <c r="W98" s="485">
        <f>G98*'4C2 Open-burning '!$C$9*'4C2 Open-burning '!$C$11*$C$5</f>
        <v>0</v>
      </c>
      <c r="X98" s="485">
        <f>H98*'4C2 Open-burning '!$C$9*'4C2 Open-burning '!$C$11*$C$5</f>
        <v>0</v>
      </c>
      <c r="Y98" s="485">
        <f>I98*'4C2 Open-burning '!$C$9*'4C2 Open-burning '!$C$11*$C$5</f>
        <v>2.8400987158225228</v>
      </c>
      <c r="Z98" s="486">
        <f t="shared" si="9"/>
        <v>8.772754064686719</v>
      </c>
      <c r="AA98" s="487">
        <f>C98*'4C2 Open-burning '!$C$10*'4C2 Open-burning '!$C$11*$C$5*C$15</f>
        <v>2.3506811469188038E-2</v>
      </c>
      <c r="AB98" s="487">
        <f>D98*'4C2 Open-burning '!$C$10*'4C2 Open-burning '!$C$11*$C$5*D$15</f>
        <v>2.4550636777663244E-2</v>
      </c>
      <c r="AC98" s="487">
        <f>E98*'4C2 Open-burning '!$C$10*'4C2 Open-burning '!$C$11*$C$5*E$15</f>
        <v>1.5087429459456399E-2</v>
      </c>
      <c r="AD98" s="487">
        <f>F98*'4C2 Open-burning '!$C$10*'4C2 Open-burning '!$C$11*$C$5*F$15</f>
        <v>0</v>
      </c>
      <c r="AE98" s="487">
        <f>G98*'4C2 Open-burning '!$C$10*'4C2 Open-burning '!$C$11*$C$5*G$15</f>
        <v>0</v>
      </c>
      <c r="AF98" s="487">
        <f>H98*'4C2 Open-burning '!$C$10*'4C2 Open-burning '!$C$11*$C$5*H$15</f>
        <v>0</v>
      </c>
      <c r="AG98" s="487">
        <f>I98*'4C2 Open-burning '!$C$10*'4C2 Open-burning '!$C$11*$C$5*I$15</f>
        <v>5.8986665636313933E-2</v>
      </c>
      <c r="AH98" s="488">
        <f t="shared" si="10"/>
        <v>0.12213154334262161</v>
      </c>
      <c r="AI98" s="1389"/>
      <c r="AJ98" s="1388"/>
      <c r="AK98" s="1389"/>
    </row>
    <row r="99" spans="1:37">
      <c r="A99" s="489">
        <f>'Input data'!A128</f>
        <v>2028</v>
      </c>
      <c r="B99" s="122">
        <f>'Recycling - Case 1'!AP108</f>
        <v>9.5406674120286389E-2</v>
      </c>
      <c r="C99" s="527">
        <f>$B99*'Recycling - Case 1'!BM108*'Recycling - Case 1'!$AK108</f>
        <v>617.16250413202908</v>
      </c>
      <c r="D99" s="528">
        <f>$B99*'Recycling - Case 1'!BN108*'Recycling - Case 1'!$AK108</f>
        <v>644.56774546385964</v>
      </c>
      <c r="E99" s="528">
        <f>$B99*'Recycling - Case 1'!BO108*'Recycling - Case 1'!$AK108</f>
        <v>176.0510188635424</v>
      </c>
      <c r="F99" s="528">
        <f>$B99*'Recycling - Case 1'!BP108*'Recycling - Case 1'!$AK108</f>
        <v>0</v>
      </c>
      <c r="G99" s="528">
        <f>$B99*'Recycling - Case 1'!BQ108*'Recycling - Case 1'!$AK108</f>
        <v>0</v>
      </c>
      <c r="H99" s="528">
        <f>$B99*'Recycling - Case 1'!BR108*'Recycling - Case 1'!$AK108</f>
        <v>0</v>
      </c>
      <c r="I99" s="528">
        <f>$B99*'Recycling - Case 1'!BS108*'Recycling - Case 1'!$AK108</f>
        <v>688.2989983510638</v>
      </c>
      <c r="J99" s="744">
        <f t="shared" si="11"/>
        <v>2126.0802668104952</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0.93001415428930356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23.713277091190847</v>
      </c>
      <c r="R99" s="1380">
        <f t="shared" si="8"/>
        <v>24.64329124548015</v>
      </c>
      <c r="S99" s="485">
        <f>C99*'4C2 Open-burning '!$C$9*'4C2 Open-burning '!$C$11*$C$5</f>
        <v>2.4069337661149137</v>
      </c>
      <c r="T99" s="485">
        <f>D99*'4C2 Open-burning '!$C$9*'4C2 Open-burning '!$C$11*$C$5</f>
        <v>2.5138142073090521</v>
      </c>
      <c r="U99" s="485">
        <f>E99*'4C2 Open-burning '!$C$9*'4C2 Open-burning '!$C$11*$C$5</f>
        <v>0.6865989735678153</v>
      </c>
      <c r="V99" s="485">
        <f>F99*'4C2 Open-burning '!$C$9*'4C2 Open-burning '!$C$11*$C$5</f>
        <v>0</v>
      </c>
      <c r="W99" s="485">
        <f>G99*'4C2 Open-burning '!$C$9*'4C2 Open-burning '!$C$11*$C$5</f>
        <v>0</v>
      </c>
      <c r="X99" s="485">
        <f>H99*'4C2 Open-burning '!$C$9*'4C2 Open-burning '!$C$11*$C$5</f>
        <v>0</v>
      </c>
      <c r="Y99" s="485">
        <f>I99*'4C2 Open-burning '!$C$9*'4C2 Open-burning '!$C$11*$C$5</f>
        <v>2.6843660935691487</v>
      </c>
      <c r="Z99" s="486">
        <f t="shared" si="9"/>
        <v>8.2917130405609285</v>
      </c>
      <c r="AA99" s="487">
        <f>C99*'4C2 Open-burning '!$C$10*'4C2 Open-burning '!$C$11*$C$5*C$15</f>
        <v>2.2217850148753045E-2</v>
      </c>
      <c r="AB99" s="487">
        <f>D99*'4C2 Open-burning '!$C$10*'4C2 Open-burning '!$C$11*$C$5*D$15</f>
        <v>2.3204438836698944E-2</v>
      </c>
      <c r="AC99" s="487">
        <f>E99*'4C2 Open-burning '!$C$10*'4C2 Open-burning '!$C$11*$C$5*E$15</f>
        <v>1.4260132527946934E-2</v>
      </c>
      <c r="AD99" s="487">
        <f>F99*'4C2 Open-burning '!$C$10*'4C2 Open-burning '!$C$11*$C$5*F$15</f>
        <v>0</v>
      </c>
      <c r="AE99" s="487">
        <f>G99*'4C2 Open-burning '!$C$10*'4C2 Open-burning '!$C$11*$C$5*G$15</f>
        <v>0</v>
      </c>
      <c r="AF99" s="487">
        <f>H99*'4C2 Open-burning '!$C$10*'4C2 Open-burning '!$C$11*$C$5*H$15</f>
        <v>0</v>
      </c>
      <c r="AG99" s="487">
        <f>I99*'4C2 Open-burning '!$C$10*'4C2 Open-burning '!$C$11*$C$5*I$15</f>
        <v>5.5752218866436165E-2</v>
      </c>
      <c r="AH99" s="488">
        <f t="shared" si="10"/>
        <v>0.11543464037983509</v>
      </c>
      <c r="AI99" s="1389"/>
      <c r="AJ99" s="1388"/>
      <c r="AK99" s="1389"/>
    </row>
    <row r="100" spans="1:37">
      <c r="A100" s="489">
        <f>'Input data'!A129</f>
        <v>2029</v>
      </c>
      <c r="B100" s="122">
        <f>'Recycling - Case 1'!AP109</f>
        <v>9.1677095303590306E-2</v>
      </c>
      <c r="C100" s="527">
        <f>$B100*'Recycling - Case 1'!BM109*'Recycling - Case 1'!$AK109</f>
        <v>583.34199231185016</v>
      </c>
      <c r="D100" s="528">
        <f>$B100*'Recycling - Case 1'!BN109*'Recycling - Case 1'!$AK109</f>
        <v>609.24542612589971</v>
      </c>
      <c r="E100" s="528">
        <f>$B100*'Recycling - Case 1'!BO109*'Recycling - Case 1'!$AK109</f>
        <v>166.40342114889705</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650.58020588766192</v>
      </c>
      <c r="J100" s="744">
        <f t="shared" si="11"/>
        <v>2009.5710454743089</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0.87904936869800954</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22.413789253241728</v>
      </c>
      <c r="R100" s="1380">
        <f t="shared" si="8"/>
        <v>23.292838621939737</v>
      </c>
      <c r="S100" s="485">
        <f>C100*'4C2 Open-burning '!$C$9*'4C2 Open-burning '!$C$11*$C$5</f>
        <v>2.2750337700162153</v>
      </c>
      <c r="T100" s="485">
        <f>D100*'4C2 Open-burning '!$C$9*'4C2 Open-burning '!$C$11*$C$5</f>
        <v>2.3760571618910089</v>
      </c>
      <c r="U100" s="485">
        <f>E100*'4C2 Open-burning '!$C$9*'4C2 Open-burning '!$C$11*$C$5</f>
        <v>0.64897334248069849</v>
      </c>
      <c r="V100" s="485">
        <f>F100*'4C2 Open-burning '!$C$9*'4C2 Open-burning '!$C$11*$C$5</f>
        <v>0</v>
      </c>
      <c r="W100" s="485">
        <f>G100*'4C2 Open-burning '!$C$9*'4C2 Open-burning '!$C$11*$C$5</f>
        <v>0</v>
      </c>
      <c r="X100" s="485">
        <f>H100*'4C2 Open-burning '!$C$9*'4C2 Open-burning '!$C$11*$C$5</f>
        <v>0</v>
      </c>
      <c r="Y100" s="485">
        <f>I100*'4C2 Open-burning '!$C$9*'4C2 Open-burning '!$C$11*$C$5</f>
        <v>2.5372628029618816</v>
      </c>
      <c r="Z100" s="486">
        <f t="shared" si="9"/>
        <v>7.8373270773498049</v>
      </c>
      <c r="AA100" s="487">
        <f>C100*'4C2 Open-burning '!$C$10*'4C2 Open-burning '!$C$11*$C$5*C$15</f>
        <v>2.1000311723226608E-2</v>
      </c>
      <c r="AB100" s="487">
        <f>D100*'4C2 Open-burning '!$C$10*'4C2 Open-burning '!$C$11*$C$5*D$15</f>
        <v>2.1932835340532392E-2</v>
      </c>
      <c r="AC100" s="487">
        <f>E100*'4C2 Open-burning '!$C$10*'4C2 Open-burning '!$C$11*$C$5*E$15</f>
        <v>1.3478677113060661E-2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5.2696996676900608E-2</v>
      </c>
      <c r="AH100" s="488">
        <f t="shared" si="10"/>
        <v>0.10910882085372027</v>
      </c>
      <c r="AI100" s="1389"/>
      <c r="AJ100" s="1388"/>
      <c r="AK100" s="1389"/>
    </row>
    <row r="101" spans="1:37">
      <c r="A101" s="489">
        <f>'Input data'!A130</f>
        <v>2030</v>
      </c>
      <c r="B101" s="122">
        <f>'Recycling - Case 1'!AP110</f>
        <v>8.8023696188278142E-2</v>
      </c>
      <c r="C101" s="527">
        <f>$B101*'Recycling - Case 1'!BM110*'Recycling - Case 1'!$AK110</f>
        <v>551.39689357942495</v>
      </c>
      <c r="D101" s="528">
        <f>$B101*'Recycling - Case 1'!BN110*'Recycling - Case 1'!$AK110</f>
        <v>575.88179802030311</v>
      </c>
      <c r="E101" s="528">
        <f>$B101*'Recycling - Case 1'!BO110*'Recycling - Case 1'!$AK110</f>
        <v>157.29080147111961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614.95299374735612</v>
      </c>
      <c r="J101" s="744">
        <f t="shared" si="11"/>
        <v>1899.522486818204</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0.83091067948339525</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21.186360540583912</v>
      </c>
      <c r="R101" s="1380">
        <f t="shared" si="8"/>
        <v>22.017271220067308</v>
      </c>
      <c r="S101" s="485">
        <f>C101*'4C2 Open-burning '!$C$9*'4C2 Open-burning '!$C$11*$C$5</f>
        <v>2.1504478849597572</v>
      </c>
      <c r="T101" s="485">
        <f>D101*'4C2 Open-burning '!$C$9*'4C2 Open-burning '!$C$11*$C$5</f>
        <v>2.245939012279182</v>
      </c>
      <c r="U101" s="485">
        <f>E101*'4C2 Open-burning '!$C$9*'4C2 Open-burning '!$C$11*$C$5</f>
        <v>0.61343412573736644</v>
      </c>
      <c r="V101" s="485">
        <f>F101*'4C2 Open-burning '!$C$9*'4C2 Open-burning '!$C$11*$C$5</f>
        <v>0</v>
      </c>
      <c r="W101" s="485">
        <f>G101*'4C2 Open-burning '!$C$9*'4C2 Open-burning '!$C$11*$C$5</f>
        <v>0</v>
      </c>
      <c r="X101" s="485">
        <f>H101*'4C2 Open-burning '!$C$9*'4C2 Open-burning '!$C$11*$C$5</f>
        <v>0</v>
      </c>
      <c r="Y101" s="485">
        <f>I101*'4C2 Open-burning '!$C$9*'4C2 Open-burning '!$C$11*$C$5</f>
        <v>2.398316675614689</v>
      </c>
      <c r="Z101" s="486">
        <f t="shared" si="9"/>
        <v>7.4081376985909939</v>
      </c>
      <c r="AA101" s="487">
        <f>C101*'4C2 Open-burning '!$C$10*'4C2 Open-burning '!$C$11*$C$5*C$15</f>
        <v>1.9850288168859295E-2</v>
      </c>
      <c r="AB101" s="487">
        <f>D101*'4C2 Open-burning '!$C$10*'4C2 Open-burning '!$C$11*$C$5*D$15</f>
        <v>2.0731744728730912E-2</v>
      </c>
      <c r="AC101" s="487">
        <f>E101*'4C2 Open-burning '!$C$10*'4C2 Open-burning '!$C$11*$C$5*E$15</f>
        <v>1.2740554919160688E-2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4.9811192493535841E-2</v>
      </c>
      <c r="AH101" s="488">
        <f t="shared" si="10"/>
        <v>0.10313378031028674</v>
      </c>
      <c r="AI101" s="1389"/>
      <c r="AJ101" s="1388"/>
      <c r="AK101" s="1389"/>
    </row>
    <row r="102" spans="1:37">
      <c r="A102" s="489">
        <f>'Input data'!A131</f>
        <v>2031</v>
      </c>
      <c r="B102" s="122">
        <f>'Recycling - Case 1'!AP111</f>
        <v>8.4791699768000772E-2</v>
      </c>
      <c r="C102" s="527">
        <f>$B102*'Recycling - Case 1'!BM111*'Recycling - Case 1'!$AK111</f>
        <v>523.94126045128394</v>
      </c>
      <c r="D102" s="528">
        <f>$B102*'Recycling - Case 1'!BN111*'Recycling - Case 1'!$AK111</f>
        <v>547.20699126000329</v>
      </c>
      <c r="E102" s="528">
        <f>$B102*'Recycling - Case 1'!BO111*'Recycling - Case 1'!$AK111</f>
        <v>149.45884124445166</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584.33272006794459</v>
      </c>
      <c r="J102" s="744">
        <f t="shared" si="11"/>
        <v>1804.9398130236834</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0.78953725311159006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20.131430871780825</v>
      </c>
      <c r="R102" s="1380">
        <f t="shared" si="8"/>
        <v>20.920968124892415</v>
      </c>
      <c r="S102" s="485">
        <f>C102*'4C2 Open-burning '!$C$9*'4C2 Open-burning '!$C$11*$C$5</f>
        <v>2.0433709157600073</v>
      </c>
      <c r="T102" s="485">
        <f>D102*'4C2 Open-burning '!$C$9*'4C2 Open-burning '!$C$11*$C$5</f>
        <v>2.1341072659140128</v>
      </c>
      <c r="U102" s="485">
        <f>E102*'4C2 Open-burning '!$C$9*'4C2 Open-burning '!$C$11*$C$5</f>
        <v>0.58288948085336145</v>
      </c>
      <c r="V102" s="485">
        <f>F102*'4C2 Open-burning '!$C$9*'4C2 Open-burning '!$C$11*$C$5</f>
        <v>0</v>
      </c>
      <c r="W102" s="485">
        <f>G102*'4C2 Open-burning '!$C$9*'4C2 Open-burning '!$C$11*$C$5</f>
        <v>0</v>
      </c>
      <c r="X102" s="485">
        <f>H102*'4C2 Open-burning '!$C$9*'4C2 Open-burning '!$C$11*$C$5</f>
        <v>0</v>
      </c>
      <c r="Y102" s="485">
        <f>I102*'4C2 Open-burning '!$C$9*'4C2 Open-burning '!$C$11*$C$5</f>
        <v>2.2788976082649834</v>
      </c>
      <c r="Z102" s="486">
        <f t="shared" si="9"/>
        <v>7.0392652707923649</v>
      </c>
      <c r="AA102" s="487">
        <f>C102*'4C2 Open-burning '!$C$10*'4C2 Open-burning '!$C$11*$C$5*C$15</f>
        <v>1.8861885376246224E-2</v>
      </c>
      <c r="AB102" s="487">
        <f>D102*'4C2 Open-burning '!$C$10*'4C2 Open-burning '!$C$11*$C$5*D$15</f>
        <v>1.9699451685360123E-2</v>
      </c>
      <c r="AC102" s="487">
        <f>E102*'4C2 Open-burning '!$C$10*'4C2 Open-burning '!$C$11*$C$5*E$15</f>
        <v>1.2106166140800585E-2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4.7330950325503517E-2</v>
      </c>
      <c r="AH102" s="488">
        <f t="shared" si="10"/>
        <v>9.7998453527910451E-2</v>
      </c>
      <c r="AI102" s="1389"/>
      <c r="AJ102" s="1388"/>
      <c r="AK102" s="1389"/>
    </row>
    <row r="103" spans="1:37">
      <c r="A103" s="489">
        <f>'Input data'!A132</f>
        <v>2032</v>
      </c>
      <c r="B103" s="122">
        <f>'Recycling - Case 1'!AP112</f>
        <v>8.1490017086321295E-2</v>
      </c>
      <c r="C103" s="527">
        <f>$B103*'Recycling - Case 1'!BM112*'Recycling - Case 1'!$AK112</f>
        <v>496.63664221686196</v>
      </c>
      <c r="D103" s="528">
        <f>$B103*'Recycling - Case 1'!BN112*'Recycling - Case 1'!$AK112</f>
        <v>518.68990524411709</v>
      </c>
      <c r="E103" s="528">
        <f>$B103*'Recycling - Case 1'!BO112*'Recycling - Case 1'!$AK112</f>
        <v>141.66995934111799</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553.88086783245888</v>
      </c>
      <c r="J103" s="744">
        <f t="shared" si="11"/>
        <v>1710.877374634556</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0.74839139401376353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19.08230365856387</v>
      </c>
      <c r="R103" s="1380">
        <f t="shared" si="8"/>
        <v>19.830695052577632</v>
      </c>
      <c r="S103" s="485">
        <f>C103*'4C2 Open-burning '!$C$9*'4C2 Open-burning '!$C$11*$C$5</f>
        <v>1.9368829046457616</v>
      </c>
      <c r="T103" s="485">
        <f>D103*'4C2 Open-burning '!$C$9*'4C2 Open-burning '!$C$11*$C$5</f>
        <v>2.0228906304520566</v>
      </c>
      <c r="U103" s="485">
        <f>E103*'4C2 Open-burning '!$C$9*'4C2 Open-burning '!$C$11*$C$5</f>
        <v>0.55251284143036006</v>
      </c>
      <c r="V103" s="485">
        <f>F103*'4C2 Open-burning '!$C$9*'4C2 Open-burning '!$C$11*$C$5</f>
        <v>0</v>
      </c>
      <c r="W103" s="485">
        <f>G103*'4C2 Open-burning '!$C$9*'4C2 Open-burning '!$C$11*$C$5</f>
        <v>0</v>
      </c>
      <c r="X103" s="485">
        <f>H103*'4C2 Open-burning '!$C$9*'4C2 Open-burning '!$C$11*$C$5</f>
        <v>0</v>
      </c>
      <c r="Y103" s="485">
        <f>I103*'4C2 Open-burning '!$C$9*'4C2 Open-burning '!$C$11*$C$5</f>
        <v>2.1601353845465896</v>
      </c>
      <c r="Z103" s="486">
        <f t="shared" si="9"/>
        <v>6.6724217610747676</v>
      </c>
      <c r="AA103" s="487">
        <f>C103*'4C2 Open-burning '!$C$10*'4C2 Open-burning '!$C$11*$C$5*C$15</f>
        <v>1.7878919119807029E-2</v>
      </c>
      <c r="AB103" s="487">
        <f>D103*'4C2 Open-burning '!$C$10*'4C2 Open-burning '!$C$11*$C$5*D$15</f>
        <v>1.8672836588788214E-2</v>
      </c>
      <c r="AC103" s="487">
        <f>E103*'4C2 Open-burning '!$C$10*'4C2 Open-burning '!$C$11*$C$5*E$15</f>
        <v>1.1475266706630557E-2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4.4864350294429166E-2</v>
      </c>
      <c r="AH103" s="488">
        <f t="shared" si="10"/>
        <v>9.2891372709654974E-2</v>
      </c>
      <c r="AI103" s="1389"/>
      <c r="AJ103" s="1388"/>
      <c r="AK103" s="1389"/>
    </row>
    <row r="104" spans="1:37">
      <c r="A104" s="489">
        <f>'Input data'!A133</f>
        <v>2033</v>
      </c>
      <c r="B104" s="122">
        <f>'Recycling - Case 1'!AP113</f>
        <v>7.8116546349121463E-2</v>
      </c>
      <c r="C104" s="527">
        <f>$B104*'Recycling - Case 1'!BM113*'Recycling - Case 1'!$AK113</f>
        <v>469.48224981015761</v>
      </c>
      <c r="D104" s="528">
        <f>$B104*'Recycling - Case 1'!BN113*'Recycling - Case 1'!$AK113</f>
        <v>490.32971586798794</v>
      </c>
      <c r="E104" s="528">
        <f>$B104*'Recycling - Case 1'!BO113*'Recycling - Case 1'!$AK113</f>
        <v>133.923930673119</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523.59655702415353</v>
      </c>
      <c r="J104" s="744">
        <f t="shared" si="11"/>
        <v>1617.332453375418</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0.7074719131310454</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18.038948582596134</v>
      </c>
      <c r="R104" s="1380">
        <f t="shared" si="8"/>
        <v>18.746420495727179</v>
      </c>
      <c r="S104" s="485">
        <f>C104*'4C2 Open-burning '!$C$9*'4C2 Open-burning '!$C$11*$C$5</f>
        <v>1.8309807742596147</v>
      </c>
      <c r="T104" s="485">
        <f>D104*'4C2 Open-burning '!$C$9*'4C2 Open-burning '!$C$11*$C$5</f>
        <v>1.9122858918851529</v>
      </c>
      <c r="U104" s="485">
        <f>E104*'4C2 Open-burning '!$C$9*'4C2 Open-burning '!$C$11*$C$5</f>
        <v>0.52230332962516401</v>
      </c>
      <c r="V104" s="485">
        <f>F104*'4C2 Open-burning '!$C$9*'4C2 Open-burning '!$C$11*$C$5</f>
        <v>0</v>
      </c>
      <c r="W104" s="485">
        <f>G104*'4C2 Open-burning '!$C$9*'4C2 Open-burning '!$C$11*$C$5</f>
        <v>0</v>
      </c>
      <c r="X104" s="485">
        <f>H104*'4C2 Open-burning '!$C$9*'4C2 Open-burning '!$C$11*$C$5</f>
        <v>0</v>
      </c>
      <c r="Y104" s="485">
        <f>I104*'4C2 Open-burning '!$C$9*'4C2 Open-burning '!$C$11*$C$5</f>
        <v>2.0420265723941986</v>
      </c>
      <c r="Z104" s="486">
        <f t="shared" si="9"/>
        <v>6.3075965681641302</v>
      </c>
      <c r="AA104" s="487">
        <f>C104*'4C2 Open-burning '!$C$10*'4C2 Open-burning '!$C$11*$C$5*C$15</f>
        <v>1.6901360993165675E-2</v>
      </c>
      <c r="AB104" s="487">
        <f>D104*'4C2 Open-burning '!$C$10*'4C2 Open-burning '!$C$11*$C$5*D$15</f>
        <v>1.7651869771247566E-2</v>
      </c>
      <c r="AC104" s="487">
        <f>E104*'4C2 Open-burning '!$C$10*'4C2 Open-burning '!$C$11*$C$5*E$15</f>
        <v>1.0847838384522638E-2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4.241132111895643E-2</v>
      </c>
      <c r="AH104" s="488">
        <f t="shared" si="10"/>
        <v>8.781239026789231E-2</v>
      </c>
      <c r="AI104" s="1389"/>
      <c r="AJ104" s="1388"/>
      <c r="AK104" s="1389"/>
    </row>
    <row r="105" spans="1:37">
      <c r="A105" s="489">
        <f>'Input data'!A134</f>
        <v>2034</v>
      </c>
      <c r="B105" s="122">
        <f>'Recycling - Case 1'!AP114</f>
        <v>7.4666757628208097E-2</v>
      </c>
      <c r="C105" s="527">
        <f>$B105*'Recycling - Case 1'!BM114*'Recycling - Case 1'!$AK114</f>
        <v>442.47105068433655</v>
      </c>
      <c r="D105" s="528">
        <f>$B105*'Recycling - Case 1'!BN114*'Recycling - Case 1'!$AK114</f>
        <v>462.11907830294047</v>
      </c>
      <c r="E105" s="528">
        <f>$B105*'Recycling - Case 1'!BO114*'Recycling - Case 1'!$AK114</f>
        <v>126.21874914477148</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493.47194449813662</v>
      </c>
      <c r="J105" s="744">
        <f t="shared" si="11"/>
        <v>1524.280822630185</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0.66676821298213562</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17.001095431849802</v>
      </c>
      <c r="R105" s="1380">
        <f t="shared" si="8"/>
        <v>17.667863644831936</v>
      </c>
      <c r="S105" s="485">
        <f>C105*'4C2 Open-burning '!$C$9*'4C2 Open-burning '!$C$11*$C$5</f>
        <v>1.7256370976689124</v>
      </c>
      <c r="T105" s="485">
        <f>D105*'4C2 Open-burning '!$C$9*'4C2 Open-burning '!$C$11*$C$5</f>
        <v>1.8022644053814676</v>
      </c>
      <c r="U105" s="485">
        <f>E105*'4C2 Open-burning '!$C$9*'4C2 Open-burning '!$C$11*$C$5</f>
        <v>0.49225312166460872</v>
      </c>
      <c r="V105" s="485">
        <f>F105*'4C2 Open-burning '!$C$9*'4C2 Open-burning '!$C$11*$C$5</f>
        <v>0</v>
      </c>
      <c r="W105" s="485">
        <f>G105*'4C2 Open-burning '!$C$9*'4C2 Open-burning '!$C$11*$C$5</f>
        <v>0</v>
      </c>
      <c r="X105" s="485">
        <f>H105*'4C2 Open-burning '!$C$9*'4C2 Open-burning '!$C$11*$C$5</f>
        <v>0</v>
      </c>
      <c r="Y105" s="485">
        <f>I105*'4C2 Open-burning '!$C$9*'4C2 Open-burning '!$C$11*$C$5</f>
        <v>1.9245405835427327</v>
      </c>
      <c r="Z105" s="486">
        <f t="shared" si="9"/>
        <v>5.9446952082577216</v>
      </c>
      <c r="AA105" s="487">
        <f>C105*'4C2 Open-burning '!$C$10*'4C2 Open-burning '!$C$11*$C$5*C$15</f>
        <v>1.5928957824636113E-2</v>
      </c>
      <c r="AB105" s="487">
        <f>D105*'4C2 Open-burning '!$C$10*'4C2 Open-burning '!$C$11*$C$5*D$15</f>
        <v>1.6636286818905856E-2</v>
      </c>
      <c r="AC105" s="487">
        <f>E105*'4C2 Open-burning '!$C$10*'4C2 Open-burning '!$C$11*$C$5*E$15</f>
        <v>1.022371868072649E-2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3.9971227504349068E-2</v>
      </c>
      <c r="AH105" s="488">
        <f t="shared" si="10"/>
        <v>8.2760190828617519E-2</v>
      </c>
      <c r="AI105" s="1389"/>
      <c r="AJ105" s="1388"/>
      <c r="AK105" s="1389"/>
    </row>
    <row r="106" spans="1:37">
      <c r="A106" s="489">
        <f>'Input data'!A135</f>
        <v>2035</v>
      </c>
      <c r="B106" s="122">
        <f>'Recycling - Case 1'!AP115</f>
        <v>7.1138979288682708E-2</v>
      </c>
      <c r="C106" s="527">
        <f>$B106*'Recycling - Case 1'!BM115*'Recycling - Case 1'!$AK115</f>
        <v>415.60423202657046</v>
      </c>
      <c r="D106" s="528">
        <f>$B106*'Recycling - Case 1'!BN115*'Recycling - Case 1'!$AK115</f>
        <v>434.0592324534623</v>
      </c>
      <c r="E106" s="528">
        <f>$B106*'Recycling - Case 1'!BO115*'Recycling - Case 1'!$AK115</f>
        <v>118.55475341163165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463.50835428128175</v>
      </c>
      <c r="J106" s="744">
        <f t="shared" si="11"/>
        <v>1431.7265721729461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0.62628208256242179</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15.968789821698717</v>
      </c>
      <c r="R106" s="1380">
        <f t="shared" si="8"/>
        <v>16.59507190426114</v>
      </c>
      <c r="S106" s="485">
        <f>C106*'4C2 Open-burning '!$C$9*'4C2 Open-burning '!$C$11*$C$5</f>
        <v>1.6208565049036248</v>
      </c>
      <c r="T106" s="485">
        <f>D106*'4C2 Open-burning '!$C$9*'4C2 Open-burning '!$C$11*$C$5</f>
        <v>1.6928310065685028</v>
      </c>
      <c r="U106" s="485">
        <f>E106*'4C2 Open-burning '!$C$9*'4C2 Open-burning '!$C$11*$C$5</f>
        <v>0.46236353830536336</v>
      </c>
      <c r="V106" s="485">
        <f>F106*'4C2 Open-burning '!$C$9*'4C2 Open-burning '!$C$11*$C$5</f>
        <v>0</v>
      </c>
      <c r="W106" s="485">
        <f>G106*'4C2 Open-burning '!$C$9*'4C2 Open-burning '!$C$11*$C$5</f>
        <v>0</v>
      </c>
      <c r="X106" s="485">
        <f>H106*'4C2 Open-burning '!$C$9*'4C2 Open-burning '!$C$11*$C$5</f>
        <v>0</v>
      </c>
      <c r="Y106" s="485">
        <f>I106*'4C2 Open-burning '!$C$9*'4C2 Open-burning '!$C$11*$C$5</f>
        <v>1.8076825816969988</v>
      </c>
      <c r="Z106" s="486">
        <f t="shared" si="9"/>
        <v>5.5837336314744892</v>
      </c>
      <c r="AA106" s="487">
        <f>C106*'4C2 Open-burning '!$C$10*'4C2 Open-burning '!$C$11*$C$5*C$15</f>
        <v>1.4961752352956534E-2</v>
      </c>
      <c r="AB106" s="487">
        <f>D106*'4C2 Open-burning '!$C$10*'4C2 Open-burning '!$C$11*$C$5*D$15</f>
        <v>1.5626132368324643E-2</v>
      </c>
      <c r="AC106" s="487">
        <f>E106*'4C2 Open-burning '!$C$10*'4C2 Open-burning '!$C$11*$C$5*E$15</f>
        <v>9.6029350263421628E-3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3.7544176696783817E-2</v>
      </c>
      <c r="AH106" s="488">
        <f t="shared" si="10"/>
        <v>7.7734996444407151E-2</v>
      </c>
      <c r="AI106" s="1389"/>
      <c r="AJ106" s="1388"/>
      <c r="AK106" s="1389"/>
    </row>
    <row r="107" spans="1:37">
      <c r="A107" s="489">
        <f>'Input data'!A136</f>
        <v>2036</v>
      </c>
      <c r="B107" s="122">
        <f>'Recycling - Case 1'!AP116</f>
        <v>6.7583519468560824E-2</v>
      </c>
      <c r="C107" s="527">
        <f>$B107*'Recycling - Case 1'!BM116*'Recycling - Case 1'!$AK116</f>
        <v>389.00970739950708</v>
      </c>
      <c r="D107" s="528">
        <f>$B107*'Recycling - Case 1'!BN116*'Recycling - Case 1'!$AK116</f>
        <v>406.28377191303684</v>
      </c>
      <c r="E107" s="528">
        <f>$B107*'Recycling - Case 1'!BO116*'Recycling - Case 1'!$AK116</f>
        <v>110.96843193967057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433.84844373928541</v>
      </c>
      <c r="J107" s="744">
        <f t="shared" si="11"/>
        <v>1340.1103549914999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0.58620627730178132</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14.946946583705859</v>
      </c>
      <c r="R107" s="1380">
        <f t="shared" si="8"/>
        <v>15.53315286100764</v>
      </c>
      <c r="S107" s="485">
        <f>C107*'4C2 Open-burning '!$C$9*'4C2 Open-burning '!$C$11*$C$5</f>
        <v>1.5171378588580773</v>
      </c>
      <c r="T107" s="485">
        <f>D107*'4C2 Open-burning '!$C$9*'4C2 Open-burning '!$C$11*$C$5</f>
        <v>1.5845067104608437</v>
      </c>
      <c r="U107" s="485">
        <f>E107*'4C2 Open-burning '!$C$9*'4C2 Open-burning '!$C$11*$C$5</f>
        <v>0.43277688456471519</v>
      </c>
      <c r="V107" s="485">
        <f>F107*'4C2 Open-burning '!$C$9*'4C2 Open-burning '!$C$11*$C$5</f>
        <v>0</v>
      </c>
      <c r="W107" s="485">
        <f>G107*'4C2 Open-burning '!$C$9*'4C2 Open-burning '!$C$11*$C$5</f>
        <v>0</v>
      </c>
      <c r="X107" s="485">
        <f>H107*'4C2 Open-burning '!$C$9*'4C2 Open-burning '!$C$11*$C$5</f>
        <v>0</v>
      </c>
      <c r="Y107" s="485">
        <f>I107*'4C2 Open-burning '!$C$9*'4C2 Open-burning '!$C$11*$C$5</f>
        <v>1.6920089305832131</v>
      </c>
      <c r="Z107" s="486">
        <f t="shared" si="9"/>
        <v>5.22643038446685</v>
      </c>
      <c r="AA107" s="487">
        <f>C107*'4C2 Open-burning '!$C$10*'4C2 Open-burning '!$C$11*$C$5*C$15</f>
        <v>1.4004349466382255E-2</v>
      </c>
      <c r="AB107" s="487">
        <f>D107*'4C2 Open-burning '!$C$10*'4C2 Open-burning '!$C$11*$C$5*D$15</f>
        <v>1.4626215788869327E-2</v>
      </c>
      <c r="AC107" s="487">
        <f>E107*'4C2 Open-burning '!$C$10*'4C2 Open-burning '!$C$11*$C$5*E$15</f>
        <v>8.9884429871133157E-3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3.5141723942882119E-2</v>
      </c>
      <c r="AH107" s="488">
        <f t="shared" si="10"/>
        <v>7.2760732185247007E-2</v>
      </c>
      <c r="AI107" s="1389"/>
      <c r="AJ107" s="1388"/>
      <c r="AK107" s="1389"/>
    </row>
    <row r="108" spans="1:37">
      <c r="A108" s="489">
        <f>'Input data'!A137</f>
        <v>2037</v>
      </c>
      <c r="B108" s="122">
        <f>'Recycling - Case 1'!AP117</f>
        <v>6.6151511857174966E-2</v>
      </c>
      <c r="C108" s="527">
        <f>$B108*'Recycling - Case 1'!BM117*'Recycling - Case 1'!$AK117</f>
        <v>379.57115615184529</v>
      </c>
      <c r="D108" s="528">
        <f>$B108*'Recycling - Case 1'!BN117*'Recycling - Case 1'!$AK117</f>
        <v>396.42609965100172</v>
      </c>
      <c r="E108" s="528">
        <f>$B108*'Recycling - Case 1'!BO117*'Recycling - Case 1'!$AK117</f>
        <v>108.27600238890976</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423.3219692270539</v>
      </c>
      <c r="J108" s="744">
        <f t="shared" si="11"/>
        <v>1307.5952274188107</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0.57198314125975025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14.584288483810459</v>
      </c>
      <c r="R108" s="1380">
        <f t="shared" si="8"/>
        <v>15.156271625070209</v>
      </c>
      <c r="S108" s="485">
        <f>C108*'4C2 Open-burning '!$C$9*'4C2 Open-burning '!$C$11*$C$5</f>
        <v>1.4803275089921963</v>
      </c>
      <c r="T108" s="485">
        <f>D108*'4C2 Open-burning '!$C$9*'4C2 Open-burning '!$C$11*$C$5</f>
        <v>1.5460617886389068</v>
      </c>
      <c r="U108" s="485">
        <f>E108*'4C2 Open-burning '!$C$9*'4C2 Open-burning '!$C$11*$C$5</f>
        <v>0.42227640931674804</v>
      </c>
      <c r="V108" s="485">
        <f>F108*'4C2 Open-burning '!$C$9*'4C2 Open-burning '!$C$11*$C$5</f>
        <v>0</v>
      </c>
      <c r="W108" s="485">
        <f>G108*'4C2 Open-burning '!$C$9*'4C2 Open-burning '!$C$11*$C$5</f>
        <v>0</v>
      </c>
      <c r="X108" s="485">
        <f>H108*'4C2 Open-burning '!$C$9*'4C2 Open-burning '!$C$11*$C$5</f>
        <v>0</v>
      </c>
      <c r="Y108" s="485">
        <f>I108*'4C2 Open-burning '!$C$9*'4C2 Open-burning '!$C$11*$C$5</f>
        <v>1.6509556799855101</v>
      </c>
      <c r="Z108" s="486">
        <f t="shared" si="9"/>
        <v>5.0996213869333609</v>
      </c>
      <c r="AA108" s="487">
        <f>C108*'4C2 Open-burning '!$C$10*'4C2 Open-burning '!$C$11*$C$5*C$15</f>
        <v>1.3664561621466429E-2</v>
      </c>
      <c r="AB108" s="487">
        <f>D108*'4C2 Open-burning '!$C$10*'4C2 Open-burning '!$C$11*$C$5*D$15</f>
        <v>1.4271339587436061E-2</v>
      </c>
      <c r="AC108" s="487">
        <f>E108*'4C2 Open-burning '!$C$10*'4C2 Open-burning '!$C$11*$C$5*E$15</f>
        <v>8.7703561935016904E-3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3.4289079507391358E-2</v>
      </c>
      <c r="AH108" s="488">
        <f t="shared" si="10"/>
        <v>7.0995336909795537E-2</v>
      </c>
      <c r="AI108" s="1389"/>
      <c r="AJ108" s="1388"/>
      <c r="AK108" s="1389"/>
    </row>
    <row r="109" spans="1:37">
      <c r="A109" s="489">
        <f>'Input data'!A138</f>
        <v>2038</v>
      </c>
      <c r="B109" s="122">
        <f>'Recycling - Case 1'!AP118</f>
        <v>6.3722342613919875E-2</v>
      </c>
      <c r="C109" s="527">
        <f>$B109*'Recycling - Case 1'!BM118*'Recycling - Case 1'!$AK118</f>
        <v>362.55806366915334</v>
      </c>
      <c r="D109" s="528">
        <f>$B109*'Recycling - Case 1'!BN118*'Recycling - Case 1'!$AK118</f>
        <v>378.657536928029</v>
      </c>
      <c r="E109" s="528">
        <f>$B109*'Recycling - Case 1'!BO118*'Recycling - Case 1'!$AK118</f>
        <v>103.42286849703478</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404.34788308881741</v>
      </c>
      <c r="J109" s="744">
        <f t="shared" si="11"/>
        <v>1248.9863521830346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0.54634578203717588</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13.930593268175937</v>
      </c>
      <c r="R109" s="1380">
        <f t="shared" si="8"/>
        <v>14.476939050213112</v>
      </c>
      <c r="S109" s="485">
        <f>C109*'4C2 Open-burning '!$C$9*'4C2 Open-burning '!$C$11*$C$5</f>
        <v>1.4139764483096979</v>
      </c>
      <c r="T109" s="485">
        <f>D109*'4C2 Open-burning '!$C$9*'4C2 Open-burning '!$C$11*$C$5</f>
        <v>1.4767643940193131</v>
      </c>
      <c r="U109" s="485">
        <f>E109*'4C2 Open-burning '!$C$9*'4C2 Open-burning '!$C$11*$C$5</f>
        <v>0.40334918713843559</v>
      </c>
      <c r="V109" s="485">
        <f>F109*'4C2 Open-burning '!$C$9*'4C2 Open-burning '!$C$11*$C$5</f>
        <v>0</v>
      </c>
      <c r="W109" s="485">
        <f>G109*'4C2 Open-burning '!$C$9*'4C2 Open-burning '!$C$11*$C$5</f>
        <v>0</v>
      </c>
      <c r="X109" s="485">
        <f>H109*'4C2 Open-burning '!$C$9*'4C2 Open-burning '!$C$11*$C$5</f>
        <v>0</v>
      </c>
      <c r="Y109" s="485">
        <f>I109*'4C2 Open-burning '!$C$9*'4C2 Open-burning '!$C$11*$C$5</f>
        <v>1.5769567440463876</v>
      </c>
      <c r="Z109" s="486">
        <f t="shared" si="9"/>
        <v>4.8710467735138341</v>
      </c>
      <c r="AA109" s="487">
        <f>C109*'4C2 Open-burning '!$C$10*'4C2 Open-burning '!$C$11*$C$5*C$15</f>
        <v>1.305209029208952E-2</v>
      </c>
      <c r="AB109" s="487">
        <f>D109*'4C2 Open-burning '!$C$10*'4C2 Open-burning '!$C$11*$C$5*D$15</f>
        <v>1.3631671329409043E-2</v>
      </c>
      <c r="AC109" s="487">
        <f>E109*'4C2 Open-burning '!$C$10*'4C2 Open-burning '!$C$11*$C$5*E$15</f>
        <v>8.3772523482598168E-3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3.2752178530194208E-2</v>
      </c>
      <c r="AH109" s="488">
        <f t="shared" si="10"/>
        <v>6.7813192499952588E-2</v>
      </c>
      <c r="AI109" s="1389"/>
      <c r="AJ109" s="1388"/>
      <c r="AK109" s="1389"/>
    </row>
    <row r="110" spans="1:37">
      <c r="A110" s="489">
        <f>'Input data'!A139</f>
        <v>2039</v>
      </c>
      <c r="B110" s="122">
        <f>'Recycling - Case 1'!AP119</f>
        <v>6.1263144923795219E-2</v>
      </c>
      <c r="C110" s="527">
        <f>$B110*'Recycling - Case 1'!BM119*'Recycling - Case 1'!$AK119</f>
        <v>345.62084746093501</v>
      </c>
      <c r="D110" s="528">
        <f>$B110*'Recycling - Case 1'!BN119*'Recycling - Case 1'!$AK119</f>
        <v>360.96821978275119</v>
      </c>
      <c r="E110" s="528">
        <f>$B110*'Recycling - Case 1'!BO119*'Recycling - Case 1'!$AK119</f>
        <v>98.591378978139687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385.45841901262952</v>
      </c>
      <c r="J110" s="744">
        <f t="shared" si="11"/>
        <v>1190.6388652344554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0.52082276224507984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13.279813451823111</v>
      </c>
      <c r="R110" s="1380">
        <f t="shared" si="8"/>
        <v>13.800636214068192</v>
      </c>
      <c r="S110" s="485">
        <f>C110*'4C2 Open-burning '!$C$9*'4C2 Open-burning '!$C$11*$C$5</f>
        <v>1.3479213050976464</v>
      </c>
      <c r="T110" s="485">
        <f>D110*'4C2 Open-burning '!$C$9*'4C2 Open-burning '!$C$11*$C$5</f>
        <v>1.4077760571527296</v>
      </c>
      <c r="U110" s="485">
        <f>E110*'4C2 Open-burning '!$C$9*'4C2 Open-burning '!$C$11*$C$5</f>
        <v>0.38450637801474474</v>
      </c>
      <c r="V110" s="485">
        <f>F110*'4C2 Open-burning '!$C$9*'4C2 Open-burning '!$C$11*$C$5</f>
        <v>0</v>
      </c>
      <c r="W110" s="485">
        <f>G110*'4C2 Open-burning '!$C$9*'4C2 Open-burning '!$C$11*$C$5</f>
        <v>0</v>
      </c>
      <c r="X110" s="485">
        <f>H110*'4C2 Open-burning '!$C$9*'4C2 Open-burning '!$C$11*$C$5</f>
        <v>0</v>
      </c>
      <c r="Y110" s="485">
        <f>I110*'4C2 Open-burning '!$C$9*'4C2 Open-burning '!$C$11*$C$5</f>
        <v>1.503287834149255</v>
      </c>
      <c r="Z110" s="486">
        <f t="shared" si="9"/>
        <v>4.6434915744143757</v>
      </c>
      <c r="AA110" s="487">
        <f>C110*'4C2 Open-burning '!$C$10*'4C2 Open-burning '!$C$11*$C$5*C$15</f>
        <v>1.244235050859366E-2</v>
      </c>
      <c r="AB110" s="487">
        <f>D110*'4C2 Open-burning '!$C$10*'4C2 Open-burning '!$C$11*$C$5*D$15</f>
        <v>1.2994855912179044E-2</v>
      </c>
      <c r="AC110" s="487">
        <f>E110*'4C2 Open-burning '!$C$10*'4C2 Open-burning '!$C$11*$C$5*E$15</f>
        <v>7.9859016972293143E-3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3.1222131940022987E-2</v>
      </c>
      <c r="AH110" s="488">
        <f t="shared" si="10"/>
        <v>6.4645240058025008E-2</v>
      </c>
      <c r="AI110" s="1389"/>
      <c r="AJ110" s="1388"/>
      <c r="AK110" s="1389"/>
    </row>
    <row r="111" spans="1:37">
      <c r="A111" s="489">
        <f>'Input data'!A140</f>
        <v>2040</v>
      </c>
      <c r="B111" s="122">
        <f>'Recycling - Case 1'!AP120</f>
        <v>5.8773140947218049E-2</v>
      </c>
      <c r="C111" s="527">
        <f>$B111*'Recycling - Case 1'!BM120*'Recycling - Case 1'!$AK120</f>
        <v>328.75809757629241</v>
      </c>
      <c r="D111" s="528">
        <f>$B111*'Recycling - Case 1'!BN120*'Recycling - Case 1'!$AK120</f>
        <v>343.35667565508044</v>
      </c>
      <c r="E111" s="528">
        <f>$B111*'Recycling - Case 1'!BO120*'Recycling - Case 1'!$AK120</f>
        <v>93.781131631360964</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366.65200453129711</v>
      </c>
      <c r="J111" s="744">
        <f t="shared" si="11"/>
        <v>1132.547909394031</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0.49541195720109266</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12.631894860112247</v>
      </c>
      <c r="R111" s="1380">
        <f t="shared" si="8"/>
        <v>13.12730681731334</v>
      </c>
      <c r="S111" s="485">
        <f>C111*'4C2 Open-burning '!$C$9*'4C2 Open-burning '!$C$11*$C$5</f>
        <v>1.2821565805475403</v>
      </c>
      <c r="T111" s="485">
        <f>D111*'4C2 Open-burning '!$C$9*'4C2 Open-burning '!$C$11*$C$5</f>
        <v>1.3390910350548135</v>
      </c>
      <c r="U111" s="485">
        <f>E111*'4C2 Open-burning '!$C$9*'4C2 Open-burning '!$C$11*$C$5</f>
        <v>0.36574641336230768</v>
      </c>
      <c r="V111" s="485">
        <f>F111*'4C2 Open-burning '!$C$9*'4C2 Open-burning '!$C$11*$C$5</f>
        <v>0</v>
      </c>
      <c r="W111" s="485">
        <f>G111*'4C2 Open-burning '!$C$9*'4C2 Open-burning '!$C$11*$C$5</f>
        <v>0</v>
      </c>
      <c r="X111" s="485">
        <f>H111*'4C2 Open-burning '!$C$9*'4C2 Open-burning '!$C$11*$C$5</f>
        <v>0</v>
      </c>
      <c r="Y111" s="485">
        <f>I111*'4C2 Open-burning '!$C$9*'4C2 Open-burning '!$C$11*$C$5</f>
        <v>1.4299428176720588</v>
      </c>
      <c r="Z111" s="486">
        <f t="shared" si="9"/>
        <v>4.4169368466367205</v>
      </c>
      <c r="AA111" s="487">
        <f>C111*'4C2 Open-burning '!$C$10*'4C2 Open-burning '!$C$11*$C$5*C$15</f>
        <v>1.1835291512746525E-2</v>
      </c>
      <c r="AB111" s="487">
        <f>D111*'4C2 Open-burning '!$C$10*'4C2 Open-burning '!$C$11*$C$5*D$15</f>
        <v>1.2360840323582895E-2</v>
      </c>
      <c r="AC111" s="487">
        <f>E111*'4C2 Open-burning '!$C$10*'4C2 Open-burning '!$C$11*$C$5*E$15</f>
        <v>7.5962716621402375E-3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2.969881236703506E-2</v>
      </c>
      <c r="AH111" s="488">
        <f t="shared" si="10"/>
        <v>6.1491215865504718E-2</v>
      </c>
      <c r="AI111" s="1389"/>
      <c r="AJ111" s="1388"/>
      <c r="AK111" s="1389"/>
    </row>
    <row r="112" spans="1:37">
      <c r="A112" s="489">
        <f>'Input data'!A141</f>
        <v>2041</v>
      </c>
      <c r="B112" s="122">
        <f>'Recycling - Case 1'!AP121</f>
        <v>5.629341939560057E-2</v>
      </c>
      <c r="C112" s="527">
        <f>$B112*'Recycling - Case 1'!BM121*'Recycling - Case 1'!$AK121</f>
        <v>312.05952347918191</v>
      </c>
      <c r="D112" s="528">
        <f>$B112*'Recycling - Case 1'!BN121*'Recycling - Case 1'!$AK121</f>
        <v>325.91659757811891</v>
      </c>
      <c r="E112" s="528">
        <f>$B112*'Recycling - Case 1'!BO121*'Recycling - Case 1'!$AK121</f>
        <v>89.017716868341353</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348.02868936230988</v>
      </c>
      <c r="J112" s="744">
        <f t="shared" si="11"/>
        <v>1075.022527287952</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0.47024855183737474</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11.990284405910298</v>
      </c>
      <c r="R112" s="1380">
        <f t="shared" si="8"/>
        <v>12.460532957747674</v>
      </c>
      <c r="S112" s="485">
        <f>C112*'4C2 Open-burning '!$C$9*'4C2 Open-burning '!$C$11*$C$5</f>
        <v>1.2170321415688095</v>
      </c>
      <c r="T112" s="485">
        <f>D112*'4C2 Open-burning '!$C$9*'4C2 Open-burning '!$C$11*$C$5</f>
        <v>1.2710747305546637</v>
      </c>
      <c r="U112" s="485">
        <f>E112*'4C2 Open-burning '!$C$9*'4C2 Open-burning '!$C$11*$C$5</f>
        <v>0.34716909578653121</v>
      </c>
      <c r="V112" s="485">
        <f>F112*'4C2 Open-burning '!$C$9*'4C2 Open-burning '!$C$11*$C$5</f>
        <v>0</v>
      </c>
      <c r="W112" s="485">
        <f>G112*'4C2 Open-burning '!$C$9*'4C2 Open-burning '!$C$11*$C$5</f>
        <v>0</v>
      </c>
      <c r="X112" s="485">
        <f>H112*'4C2 Open-burning '!$C$9*'4C2 Open-burning '!$C$11*$C$5</f>
        <v>0</v>
      </c>
      <c r="Y112" s="485">
        <f>I112*'4C2 Open-burning '!$C$9*'4C2 Open-burning '!$C$11*$C$5</f>
        <v>1.3573118885130084</v>
      </c>
      <c r="Z112" s="486">
        <f t="shared" si="9"/>
        <v>4.192587856423013</v>
      </c>
      <c r="AA112" s="487">
        <f>C112*'4C2 Open-burning '!$C$10*'4C2 Open-burning '!$C$11*$C$5*C$15</f>
        <v>1.1234142845250549E-2</v>
      </c>
      <c r="AB112" s="487">
        <f>D112*'4C2 Open-burning '!$C$10*'4C2 Open-burning '!$C$11*$C$5*D$15</f>
        <v>1.1732997512812281E-2</v>
      </c>
      <c r="AC112" s="487">
        <f>E112*'4C2 Open-burning '!$C$10*'4C2 Open-burning '!$C$11*$C$5*E$15</f>
        <v>7.2104350663356491E-3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2.8190323838347096E-2</v>
      </c>
      <c r="AH112" s="488">
        <f t="shared" si="10"/>
        <v>5.8367899262745576E-2</v>
      </c>
      <c r="AI112" s="1389"/>
      <c r="AJ112" s="1388"/>
      <c r="AK112" s="1389"/>
    </row>
    <row r="113" spans="1:37">
      <c r="A113" s="489">
        <f>'Input data'!A142</f>
        <v>2042</v>
      </c>
      <c r="B113" s="122">
        <f>'Recycling - Case 1'!AP122</f>
        <v>5.3778102386099959E-2</v>
      </c>
      <c r="C113" s="527">
        <f>$B113*'Recycling - Case 1'!BM122*'Recycling - Case 1'!$AK122</f>
        <v>295.42142886199082</v>
      </c>
      <c r="D113" s="528">
        <f>$B113*'Recycling - Case 1'!BN122*'Recycling - Case 1'!$AK122</f>
        <v>308.53968458613485</v>
      </c>
      <c r="E113" s="528">
        <f>$B113*'Recycling - Case 1'!BO122*'Recycling - Case 1'!$AK122</f>
        <v>84.271554407574158</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329.47282476779952</v>
      </c>
      <c r="J113" s="744">
        <f t="shared" si="11"/>
        <v>1017.7054926234994</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0.44517628417562755</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11.350997758900228</v>
      </c>
      <c r="R113" s="1380">
        <f t="shared" si="8"/>
        <v>11.796174043075855</v>
      </c>
      <c r="S113" s="485">
        <f>C113*'4C2 Open-burning '!$C$9*'4C2 Open-burning '!$C$11*$C$5</f>
        <v>1.1521435725617641</v>
      </c>
      <c r="T113" s="485">
        <f>D113*'4C2 Open-burning '!$C$9*'4C2 Open-burning '!$C$11*$C$5</f>
        <v>1.2033047698859256</v>
      </c>
      <c r="U113" s="485">
        <f>E113*'4C2 Open-burning '!$C$9*'4C2 Open-burning '!$C$11*$C$5</f>
        <v>0.32865906218953922</v>
      </c>
      <c r="V113" s="485">
        <f>F113*'4C2 Open-burning '!$C$9*'4C2 Open-burning '!$C$11*$C$5</f>
        <v>0</v>
      </c>
      <c r="W113" s="485">
        <f>G113*'4C2 Open-burning '!$C$9*'4C2 Open-burning '!$C$11*$C$5</f>
        <v>0</v>
      </c>
      <c r="X113" s="485">
        <f>H113*'4C2 Open-burning '!$C$9*'4C2 Open-burning '!$C$11*$C$5</f>
        <v>0</v>
      </c>
      <c r="Y113" s="485">
        <f>I113*'4C2 Open-burning '!$C$9*'4C2 Open-burning '!$C$11*$C$5</f>
        <v>1.2849440165944181</v>
      </c>
      <c r="Z113" s="486">
        <f t="shared" si="9"/>
        <v>3.9690514212316472</v>
      </c>
      <c r="AA113" s="487">
        <f>C113*'4C2 Open-burning '!$C$10*'4C2 Open-burning '!$C$11*$C$5*C$15</f>
        <v>1.0635171439031669E-2</v>
      </c>
      <c r="AB113" s="487">
        <f>D113*'4C2 Open-burning '!$C$10*'4C2 Open-burning '!$C$11*$C$5*D$15</f>
        <v>1.1107428645100855E-2</v>
      </c>
      <c r="AC113" s="487">
        <f>E113*'4C2 Open-burning '!$C$10*'4C2 Open-burning '!$C$11*$C$5*E$15</f>
        <v>6.8259959070135065E-3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2.6687298806191757E-2</v>
      </c>
      <c r="AH113" s="488">
        <f t="shared" si="10"/>
        <v>5.5255894797337793E-2</v>
      </c>
      <c r="AI113" s="1389"/>
      <c r="AJ113" s="1388"/>
      <c r="AK113" s="1389"/>
    </row>
    <row r="114" spans="1:37">
      <c r="A114" s="489">
        <f>'Input data'!A143</f>
        <v>2043</v>
      </c>
      <c r="B114" s="122">
        <f>'Recycling - Case 1'!AP123</f>
        <v>5.1225713436369925E-2</v>
      </c>
      <c r="C114" s="527">
        <f>$B114*'Recycling - Case 1'!BM123*'Recycling - Case 1'!$AK123</f>
        <v>278.84178689836148</v>
      </c>
      <c r="D114" s="528">
        <f>$B114*'Recycling - Case 1'!BN123*'Recycling - Case 1'!$AK123</f>
        <v>291.22381985108552</v>
      </c>
      <c r="E114" s="528">
        <f>$B114*'Recycling - Case 1'!BO123*'Recycling - Case 1'!$AK123</f>
        <v>79.542066079058898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310.98215030170451</v>
      </c>
      <c r="J114" s="744">
        <f t="shared" si="11"/>
        <v>960.58982313021033</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0.42019209995187967</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10.713957042194323</v>
      </c>
      <c r="R114" s="1380">
        <f t="shared" si="8"/>
        <v>11.134149142146203</v>
      </c>
      <c r="S114" s="485">
        <f>C114*'4C2 Open-burning '!$C$9*'4C2 Open-burning '!$C$11*$C$5</f>
        <v>1.0874829689036096</v>
      </c>
      <c r="T114" s="485">
        <f>D114*'4C2 Open-burning '!$C$9*'4C2 Open-burning '!$C$11*$C$5</f>
        <v>1.1357728974192334</v>
      </c>
      <c r="U114" s="485">
        <f>E114*'4C2 Open-burning '!$C$9*'4C2 Open-burning '!$C$11*$C$5</f>
        <v>0.31021405770832966</v>
      </c>
      <c r="V114" s="485">
        <f>F114*'4C2 Open-burning '!$C$9*'4C2 Open-burning '!$C$11*$C$5</f>
        <v>0</v>
      </c>
      <c r="W114" s="485">
        <f>G114*'4C2 Open-burning '!$C$9*'4C2 Open-burning '!$C$11*$C$5</f>
        <v>0</v>
      </c>
      <c r="X114" s="485">
        <f>H114*'4C2 Open-burning '!$C$9*'4C2 Open-burning '!$C$11*$C$5</f>
        <v>0</v>
      </c>
      <c r="Y114" s="485">
        <f>I114*'4C2 Open-burning '!$C$9*'4C2 Open-burning '!$C$11*$C$5</f>
        <v>1.2128303861766476</v>
      </c>
      <c r="Z114" s="486">
        <f t="shared" si="9"/>
        <v>3.7463003102078201</v>
      </c>
      <c r="AA114" s="487">
        <f>C114*'4C2 Open-burning '!$C$10*'4C2 Open-burning '!$C$11*$C$5*C$15</f>
        <v>1.0038304328341012E-2</v>
      </c>
      <c r="AB114" s="487">
        <f>D114*'4C2 Open-burning '!$C$10*'4C2 Open-burning '!$C$11*$C$5*D$15</f>
        <v>1.0484057514639079E-2</v>
      </c>
      <c r="AC114" s="487">
        <f>E114*'4C2 Open-burning '!$C$10*'4C2 Open-burning '!$C$11*$C$5*E$15</f>
        <v>6.4429073524037705E-3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2.5189554174438061E-2</v>
      </c>
      <c r="AH114" s="488">
        <f t="shared" si="10"/>
        <v>5.2154823369821926E-2</v>
      </c>
      <c r="AI114" s="1389"/>
      <c r="AJ114" s="1388"/>
      <c r="AK114" s="1389"/>
    </row>
    <row r="115" spans="1:37">
      <c r="A115" s="489">
        <f>'Input data'!A144</f>
        <v>2044</v>
      </c>
      <c r="B115" s="122">
        <f>'Recycling - Case 1'!AP124</f>
        <v>4.8635788940869847E-2</v>
      </c>
      <c r="C115" s="527">
        <f>$B115*'Recycling - Case 1'!BM124*'Recycling - Case 1'!$AK124</f>
        <v>262.3207965418909</v>
      </c>
      <c r="D115" s="528">
        <f>$B115*'Recycling - Case 1'!BN124*'Recycling - Case 1'!$AK124</f>
        <v>273.96921116114748</v>
      </c>
      <c r="E115" s="528">
        <f>$B115*'Recycling - Case 1'!BO124*'Recycling - Case 1'!$AK124</f>
        <v>74.829308636054563</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292.55688784976917</v>
      </c>
      <c r="J115" s="744">
        <f t="shared" si="11"/>
        <v>903.67620418886202</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0.39529629897316726</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10.079169900200247</v>
      </c>
      <c r="R115" s="1380">
        <f t="shared" si="8"/>
        <v>10.474466199173415</v>
      </c>
      <c r="S115" s="485">
        <f>C115*'4C2 Open-burning '!$C$9*'4C2 Open-burning '!$C$11*$C$5</f>
        <v>1.0230511065133745</v>
      </c>
      <c r="T115" s="485">
        <f>D115*'4C2 Open-burning '!$C$9*'4C2 Open-burning '!$C$11*$C$5</f>
        <v>1.068479923528475</v>
      </c>
      <c r="U115" s="485">
        <f>E115*'4C2 Open-burning '!$C$9*'4C2 Open-burning '!$C$11*$C$5</f>
        <v>0.29183430368061275</v>
      </c>
      <c r="V115" s="485">
        <f>F115*'4C2 Open-burning '!$C$9*'4C2 Open-burning '!$C$11*$C$5</f>
        <v>0</v>
      </c>
      <c r="W115" s="485">
        <f>G115*'4C2 Open-burning '!$C$9*'4C2 Open-burning '!$C$11*$C$5</f>
        <v>0</v>
      </c>
      <c r="X115" s="485">
        <f>H115*'4C2 Open-burning '!$C$9*'4C2 Open-burning '!$C$11*$C$5</f>
        <v>0</v>
      </c>
      <c r="Y115" s="485">
        <f>I115*'4C2 Open-burning '!$C$9*'4C2 Open-burning '!$C$11*$C$5</f>
        <v>1.1409718626140997</v>
      </c>
      <c r="Z115" s="486">
        <f t="shared" si="9"/>
        <v>3.5243371963365622</v>
      </c>
      <c r="AA115" s="487">
        <f>C115*'4C2 Open-burning '!$C$10*'4C2 Open-burning '!$C$11*$C$5*C$15</f>
        <v>9.4435486755080726E-3</v>
      </c>
      <c r="AB115" s="487">
        <f>D115*'4C2 Open-burning '!$C$10*'4C2 Open-burning '!$C$11*$C$5*D$15</f>
        <v>9.8628916018013088E-3</v>
      </c>
      <c r="AC115" s="487">
        <f>E115*'4C2 Open-burning '!$C$10*'4C2 Open-burning '!$C$11*$C$5*E$15</f>
        <v>6.06117399952042E-3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2.3697107915831298E-2</v>
      </c>
      <c r="AH115" s="488">
        <f t="shared" si="10"/>
        <v>4.90647221926611E-2</v>
      </c>
      <c r="AI115" s="1389"/>
      <c r="AJ115" s="1388"/>
      <c r="AK115" s="1389"/>
    </row>
    <row r="116" spans="1:37">
      <c r="A116" s="489">
        <f>'Input data'!A145</f>
        <v>2045</v>
      </c>
      <c r="B116" s="122">
        <f>'Recycling - Case 1'!AP125</f>
        <v>4.6006393556932527E-2</v>
      </c>
      <c r="C116" s="527">
        <f>$B116*'Recycling - Case 1'!BM125*'Recycling - Case 1'!$AK125</f>
        <v>245.85572579853559</v>
      </c>
      <c r="D116" s="528">
        <f>$B116*'Recycling - Case 1'!BN125*'Recycling - Case 1'!$AK125</f>
        <v>256.77300520746064</v>
      </c>
      <c r="E116" s="528">
        <f>$B116*'Recycling - Case 1'!BO125*'Recycling - Case 1'!$AK125</f>
        <v>70.132502753291647</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274.19399051794028</v>
      </c>
      <c r="J116" s="744">
        <f t="shared" si="11"/>
        <v>846.95522427722813</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0.37048476434464855</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9.4465313613240767</v>
      </c>
      <c r="R116" s="1380">
        <f t="shared" si="8"/>
        <v>9.8170161256687258</v>
      </c>
      <c r="S116" s="485">
        <f>C116*'4C2 Open-burning '!$C$9*'4C2 Open-burning '!$C$11*$C$5</f>
        <v>0.95883733061428877</v>
      </c>
      <c r="T116" s="485">
        <f>D116*'4C2 Open-burning '!$C$9*'4C2 Open-burning '!$C$11*$C$5</f>
        <v>1.0014147203090964</v>
      </c>
      <c r="U116" s="485">
        <f>E116*'4C2 Open-burning '!$C$9*'4C2 Open-burning '!$C$11*$C$5</f>
        <v>0.27351676073783743</v>
      </c>
      <c r="V116" s="485">
        <f>F116*'4C2 Open-burning '!$C$9*'4C2 Open-burning '!$C$11*$C$5</f>
        <v>0</v>
      </c>
      <c r="W116" s="485">
        <f>G116*'4C2 Open-burning '!$C$9*'4C2 Open-burning '!$C$11*$C$5</f>
        <v>0</v>
      </c>
      <c r="X116" s="485">
        <f>H116*'4C2 Open-burning '!$C$9*'4C2 Open-burning '!$C$11*$C$5</f>
        <v>0</v>
      </c>
      <c r="Y116" s="485">
        <f>I116*'4C2 Open-burning '!$C$9*'4C2 Open-burning '!$C$11*$C$5</f>
        <v>1.0693565630199671</v>
      </c>
      <c r="Z116" s="486">
        <f t="shared" si="9"/>
        <v>3.3031253746811897</v>
      </c>
      <c r="AA116" s="487">
        <f>C116*'4C2 Open-burning '!$C$10*'4C2 Open-burning '!$C$11*$C$5*C$15</f>
        <v>8.8508061287472795E-3</v>
      </c>
      <c r="AB116" s="487">
        <f>D116*'4C2 Open-burning '!$C$10*'4C2 Open-burning '!$C$11*$C$5*D$15</f>
        <v>9.2438281874685831E-3</v>
      </c>
      <c r="AC116" s="487">
        <f>E116*'4C2 Open-burning '!$C$10*'4C2 Open-burning '!$C$11*$C$5*E$15</f>
        <v>5.6807327230166231E-3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2.2209713231953161E-2</v>
      </c>
      <c r="AH116" s="488">
        <f t="shared" si="10"/>
        <v>4.5985080271185648E-2</v>
      </c>
      <c r="AI116" s="1389"/>
      <c r="AJ116" s="1388"/>
      <c r="AK116" s="1389"/>
    </row>
    <row r="117" spans="1:37">
      <c r="A117" s="489">
        <f>'Input data'!A146</f>
        <v>2046</v>
      </c>
      <c r="B117" s="122">
        <f>'Recycling - Case 1'!AP126</f>
        <v>4.3372177213378944E-2</v>
      </c>
      <c r="C117" s="527">
        <f>$B117*'Recycling - Case 1'!BM126*'Recycling - Case 1'!$AK126</f>
        <v>229.51434654877417</v>
      </c>
      <c r="D117" s="528">
        <f>$B117*'Recycling - Case 1'!BN126*'Recycling - Case 1'!$AK126</f>
        <v>239.70598329626677</v>
      </c>
      <c r="E117" s="528">
        <f>$B117*'Recycling - Case 1'!BO126*'Recycling - Case 1'!$AK126</f>
        <v>65.470980954260597</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255.96904183103914</v>
      </c>
      <c r="J117" s="744">
        <f t="shared" si="11"/>
        <v>790.66035263034075</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0.3458596228282152</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8.8186454291629595</v>
      </c>
      <c r="R117" s="1380">
        <f t="shared" si="8"/>
        <v>9.1645050519911742</v>
      </c>
      <c r="S117" s="485">
        <f>C117*'4C2 Open-burning '!$C$9*'4C2 Open-burning '!$C$11*$C$5</f>
        <v>0.89510595154021921</v>
      </c>
      <c r="T117" s="485">
        <f>D117*'4C2 Open-burning '!$C$9*'4C2 Open-burning '!$C$11*$C$5</f>
        <v>0.9348533348554402</v>
      </c>
      <c r="U117" s="485">
        <f>E117*'4C2 Open-burning '!$C$9*'4C2 Open-burning '!$C$11*$C$5</f>
        <v>0.25533682572161631</v>
      </c>
      <c r="V117" s="485">
        <f>F117*'4C2 Open-burning '!$C$9*'4C2 Open-burning '!$C$11*$C$5</f>
        <v>0</v>
      </c>
      <c r="W117" s="485">
        <f>G117*'4C2 Open-burning '!$C$9*'4C2 Open-burning '!$C$11*$C$5</f>
        <v>0</v>
      </c>
      <c r="X117" s="485">
        <f>H117*'4C2 Open-burning '!$C$9*'4C2 Open-burning '!$C$11*$C$5</f>
        <v>0</v>
      </c>
      <c r="Y117" s="485">
        <f>I117*'4C2 Open-burning '!$C$9*'4C2 Open-burning '!$C$11*$C$5</f>
        <v>0.99827926314105264</v>
      </c>
      <c r="Z117" s="486">
        <f t="shared" si="9"/>
        <v>3.0835753752583281</v>
      </c>
      <c r="AA117" s="487">
        <f>C117*'4C2 Open-burning '!$C$10*'4C2 Open-burning '!$C$11*$C$5*C$15</f>
        <v>8.2625164757558697E-3</v>
      </c>
      <c r="AB117" s="487">
        <f>D117*'4C2 Open-burning '!$C$10*'4C2 Open-burning '!$C$11*$C$5*D$15</f>
        <v>8.6294153986656037E-3</v>
      </c>
      <c r="AC117" s="487">
        <f>E117*'4C2 Open-burning '!$C$10*'4C2 Open-burning '!$C$11*$C$5*E$15</f>
        <v>5.3031494572951081E-3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2.0733492388314165E-2</v>
      </c>
      <c r="AH117" s="488">
        <f t="shared" si="10"/>
        <v>4.2928573720030741E-2</v>
      </c>
      <c r="AI117" s="1389"/>
      <c r="AJ117" s="1388"/>
      <c r="AK117" s="1389"/>
    </row>
    <row r="118" spans="1:37">
      <c r="A118" s="489">
        <f>'Input data'!A147</f>
        <v>2047</v>
      </c>
      <c r="B118" s="122">
        <f>'Recycling - Case 1'!AP127</f>
        <v>4.0692786633213178E-2</v>
      </c>
      <c r="C118" s="527">
        <f>$B118*'Recycling - Case 1'!BM127*'Recycling - Case 1'!$AK127</f>
        <v>213.21723928406686</v>
      </c>
      <c r="D118" s="528">
        <f>$B118*'Recycling - Case 1'!BN127*'Recycling - Case 1'!$AK127</f>
        <v>222.68519927769032</v>
      </c>
      <c r="E118" s="528">
        <f>$B118*'Recycling - Case 1'!BO127*'Recycling - Case 1'!$AK127</f>
        <v>60.822088127378208</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237.79346808633514</v>
      </c>
      <c r="J118" s="744">
        <f t="shared" si="11"/>
        <v>734.51799477547058</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0.3213011956252132</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8.1924605625104174</v>
      </c>
      <c r="R118" s="1380">
        <f t="shared" si="8"/>
        <v>8.5137617581356313</v>
      </c>
      <c r="S118" s="485">
        <f>C118*'4C2 Open-burning '!$C$9*'4C2 Open-burning '!$C$11*$C$5</f>
        <v>0.83154723320786073</v>
      </c>
      <c r="T118" s="485">
        <f>D118*'4C2 Open-burning '!$C$9*'4C2 Open-burning '!$C$11*$C$5</f>
        <v>0.86847227718299225</v>
      </c>
      <c r="U118" s="485">
        <f>E118*'4C2 Open-burning '!$C$9*'4C2 Open-burning '!$C$11*$C$5</f>
        <v>0.23720614369677495</v>
      </c>
      <c r="V118" s="485">
        <f>F118*'4C2 Open-burning '!$C$9*'4C2 Open-burning '!$C$11*$C$5</f>
        <v>0</v>
      </c>
      <c r="W118" s="485">
        <f>G118*'4C2 Open-burning '!$C$9*'4C2 Open-burning '!$C$11*$C$5</f>
        <v>0</v>
      </c>
      <c r="X118" s="485">
        <f>H118*'4C2 Open-burning '!$C$9*'4C2 Open-burning '!$C$11*$C$5</f>
        <v>0</v>
      </c>
      <c r="Y118" s="485">
        <f>I118*'4C2 Open-burning '!$C$9*'4C2 Open-burning '!$C$11*$C$5</f>
        <v>0.92739452553670687</v>
      </c>
      <c r="Z118" s="486">
        <f t="shared" si="9"/>
        <v>2.8646201796243345</v>
      </c>
      <c r="AA118" s="487">
        <f>C118*'4C2 Open-burning '!$C$10*'4C2 Open-burning '!$C$11*$C$5*C$15</f>
        <v>7.6758206142264074E-3</v>
      </c>
      <c r="AB118" s="487">
        <f>D118*'4C2 Open-burning '!$C$10*'4C2 Open-burning '!$C$11*$C$5*D$15</f>
        <v>8.0166671739968498E-3</v>
      </c>
      <c r="AC118" s="487">
        <f>E118*'4C2 Open-burning '!$C$10*'4C2 Open-burning '!$C$11*$C$5*E$15</f>
        <v>4.9265891383176346E-3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1.9261270914993144E-2</v>
      </c>
      <c r="AH118" s="488">
        <f t="shared" si="10"/>
        <v>3.9880347841534033E-2</v>
      </c>
      <c r="AI118" s="1389"/>
      <c r="AJ118" s="1388"/>
      <c r="AK118" s="1389"/>
    </row>
    <row r="119" spans="1:37">
      <c r="A119" s="489">
        <f>'Input data'!A148</f>
        <v>2048</v>
      </c>
      <c r="B119" s="122">
        <f>'Recycling - Case 1'!AP128</f>
        <v>4.0541828833885275E-2</v>
      </c>
      <c r="C119" s="527">
        <f>$B119*'Recycling - Case 1'!BM128*'Recycling - Case 1'!$AK128</f>
        <v>212.93490710174956</v>
      </c>
      <c r="D119" s="528">
        <f>$B119*'Recycling - Case 1'!BN128*'Recycling - Case 1'!$AK128</f>
        <v>222.39033007061803</v>
      </c>
      <c r="E119" s="528">
        <f>$B119*'Recycling - Case 1'!BO128*'Recycling - Case 1'!$AK128</f>
        <v>60.74155039538357</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237.47859322438191</v>
      </c>
      <c r="J119" s="744">
        <f t="shared" si="11"/>
        <v>733.54538079213307</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0.32087574378066908</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8.181612493766405</v>
      </c>
      <c r="R119" s="1380">
        <f t="shared" si="8"/>
        <v>8.5024882375470732</v>
      </c>
      <c r="S119" s="485">
        <f>C119*'4C2 Open-burning '!$C$9*'4C2 Open-burning '!$C$11*$C$5</f>
        <v>0.83044613769682318</v>
      </c>
      <c r="T119" s="485">
        <f>D119*'4C2 Open-burning '!$C$9*'4C2 Open-burning '!$C$11*$C$5</f>
        <v>0.86732228727541028</v>
      </c>
      <c r="U119" s="485">
        <f>E119*'4C2 Open-burning '!$C$9*'4C2 Open-burning '!$C$11*$C$5</f>
        <v>0.23689204654199592</v>
      </c>
      <c r="V119" s="485">
        <f>F119*'4C2 Open-burning '!$C$9*'4C2 Open-burning '!$C$11*$C$5</f>
        <v>0</v>
      </c>
      <c r="W119" s="485">
        <f>G119*'4C2 Open-burning '!$C$9*'4C2 Open-burning '!$C$11*$C$5</f>
        <v>0</v>
      </c>
      <c r="X119" s="485">
        <f>H119*'4C2 Open-burning '!$C$9*'4C2 Open-burning '!$C$11*$C$5</f>
        <v>0</v>
      </c>
      <c r="Y119" s="485">
        <f>I119*'4C2 Open-burning '!$C$9*'4C2 Open-burning '!$C$11*$C$5</f>
        <v>0.92616651357508939</v>
      </c>
      <c r="Z119" s="486">
        <f t="shared" si="9"/>
        <v>2.8608269850893189</v>
      </c>
      <c r="AA119" s="487">
        <f>C119*'4C2 Open-burning '!$C$10*'4C2 Open-burning '!$C$11*$C$5*C$15</f>
        <v>7.6656566556629838E-3</v>
      </c>
      <c r="AB119" s="487">
        <f>D119*'4C2 Open-burning '!$C$10*'4C2 Open-burning '!$C$11*$C$5*D$15</f>
        <v>8.0060518825422478E-3</v>
      </c>
      <c r="AC119" s="487">
        <f>E119*'4C2 Open-burning '!$C$10*'4C2 Open-burning '!$C$11*$C$5*E$15</f>
        <v>4.9200655820260683E-3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1.9235766051174934E-2</v>
      </c>
      <c r="AH119" s="488">
        <f t="shared" si="10"/>
        <v>3.9827540171406231E-2</v>
      </c>
      <c r="AI119" s="1389"/>
      <c r="AJ119" s="1388"/>
      <c r="AK119" s="1389"/>
    </row>
    <row r="120" spans="1:37">
      <c r="A120" s="489">
        <f>'Input data'!A149</f>
        <v>2049</v>
      </c>
      <c r="B120" s="122">
        <f>'Recycling - Case 1'!AP129</f>
        <v>4.0391853245596729E-2</v>
      </c>
      <c r="C120" s="527">
        <f>$B120*'Recycling - Case 1'!BM129*'Recycling - Case 1'!$AK129</f>
        <v>212.65543740122951</v>
      </c>
      <c r="D120" s="528">
        <f>$B120*'Recycling - Case 1'!BN129*'Recycling - Case 1'!$AK129</f>
        <v>222.09845045449811</v>
      </c>
      <c r="E120" s="528">
        <f>$B120*'Recycling - Case 1'!BO129*'Recycling - Case 1'!$AK129</f>
        <v>60.661829211435041</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237.16691078474966</v>
      </c>
      <c r="J120" s="744">
        <f t="shared" si="11"/>
        <v>732.58262785191232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0.3204546054654952</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8.1708744103561948</v>
      </c>
      <c r="R120" s="1380">
        <f t="shared" si="8"/>
        <v>8.4913290158216892</v>
      </c>
      <c r="S120" s="485">
        <f>C120*'4C2 Open-burning '!$C$9*'4C2 Open-burning '!$C$11*$C$5</f>
        <v>0.82935620586479508</v>
      </c>
      <c r="T120" s="485">
        <f>D120*'4C2 Open-burning '!$C$9*'4C2 Open-burning '!$C$11*$C$5</f>
        <v>0.86618395677254256</v>
      </c>
      <c r="U120" s="485">
        <f>E120*'4C2 Open-burning '!$C$9*'4C2 Open-burning '!$C$11*$C$5</f>
        <v>0.23658113392459662</v>
      </c>
      <c r="V120" s="485">
        <f>F120*'4C2 Open-burning '!$C$9*'4C2 Open-burning '!$C$11*$C$5</f>
        <v>0</v>
      </c>
      <c r="W120" s="485">
        <f>G120*'4C2 Open-burning '!$C$9*'4C2 Open-burning '!$C$11*$C$5</f>
        <v>0</v>
      </c>
      <c r="X120" s="485">
        <f>H120*'4C2 Open-burning '!$C$9*'4C2 Open-burning '!$C$11*$C$5</f>
        <v>0</v>
      </c>
      <c r="Y120" s="485">
        <f>I120*'4C2 Open-burning '!$C$9*'4C2 Open-burning '!$C$11*$C$5</f>
        <v>0.92495095206052369</v>
      </c>
      <c r="Z120" s="486">
        <f t="shared" si="9"/>
        <v>2.8570722486224582</v>
      </c>
      <c r="AA120" s="487">
        <f>C120*'4C2 Open-burning '!$C$10*'4C2 Open-burning '!$C$11*$C$5*C$15</f>
        <v>7.6555957464442609E-3</v>
      </c>
      <c r="AB120" s="487">
        <f>D120*'4C2 Open-burning '!$C$10*'4C2 Open-burning '!$C$11*$C$5*D$15</f>
        <v>7.9955442163619304E-3</v>
      </c>
      <c r="AC120" s="487">
        <f>E120*'4C2 Open-burning '!$C$10*'4C2 Open-burning '!$C$11*$C$5*E$15</f>
        <v>4.9136081661262385E-3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1.9210519773564722E-2</v>
      </c>
      <c r="AH120" s="488">
        <f t="shared" si="10"/>
        <v>3.9775267902497149E-2</v>
      </c>
      <c r="AI120" s="1389"/>
      <c r="AJ120" s="1388"/>
      <c r="AK120" s="1389"/>
    </row>
    <row r="121" spans="1:37" ht="15" thickBot="1">
      <c r="A121" s="489">
        <f>'Input data'!A150</f>
        <v>2050</v>
      </c>
      <c r="B121" s="628">
        <f>'Recycling - Case 1'!AP130</f>
        <v>4.0242072033570497E-2</v>
      </c>
      <c r="C121" s="670">
        <f>$B121*'Recycling - Case 1'!BM130*'Recycling - Case 1'!$AK130</f>
        <v>212.37735054586341</v>
      </c>
      <c r="D121" s="667">
        <f>$B121*'Recycling - Case 1'!BN130*'Recycling - Case 1'!$AK130</f>
        <v>221.80801508908564</v>
      </c>
      <c r="E121" s="667">
        <f>$B121*'Recycling - Case 1'!BO130*'Recycling - Case 1'!$AK130</f>
        <v>60.582502496198806</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236.85677058225588</v>
      </c>
      <c r="J121" s="936">
        <f t="shared" si="11"/>
        <v>731.62463871340378</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0.32003555098651965</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8.160189460099879</v>
      </c>
      <c r="R121" s="1381">
        <f t="shared" si="8"/>
        <v>8.4802250110863984</v>
      </c>
      <c r="S121" s="485">
        <f>C121*'4C2 Open-burning '!$C$9*'4C2 Open-burning '!$C$11*$C$5</f>
        <v>0.82827166712886713</v>
      </c>
      <c r="T121" s="485">
        <f>D121*'4C2 Open-burning '!$C$9*'4C2 Open-burning '!$C$11*$C$5</f>
        <v>0.86505125884743395</v>
      </c>
      <c r="U121" s="485">
        <f>E121*'4C2 Open-burning '!$C$9*'4C2 Open-burning '!$C$11*$C$5</f>
        <v>0.23627175973517534</v>
      </c>
      <c r="V121" s="485">
        <f>F121*'4C2 Open-burning '!$C$9*'4C2 Open-burning '!$C$11*$C$5</f>
        <v>0</v>
      </c>
      <c r="W121" s="485">
        <f>G121*'4C2 Open-burning '!$C$9*'4C2 Open-burning '!$C$11*$C$5</f>
        <v>0</v>
      </c>
      <c r="X121" s="485">
        <f>H121*'4C2 Open-burning '!$C$9*'4C2 Open-burning '!$C$11*$C$5</f>
        <v>0</v>
      </c>
      <c r="Y121" s="485">
        <f>I121*'4C2 Open-burning '!$C$9*'4C2 Open-burning '!$C$11*$C$5</f>
        <v>0.92374140527079784</v>
      </c>
      <c r="Z121" s="486">
        <f t="shared" si="9"/>
        <v>2.8533360909822743</v>
      </c>
      <c r="AA121" s="487">
        <f>C121*'4C2 Open-burning '!$C$10*'4C2 Open-burning '!$C$11*$C$5*C$15</f>
        <v>7.6455846196510817E-3</v>
      </c>
      <c r="AB121" s="487">
        <f>D121*'4C2 Open-burning '!$C$10*'4C2 Open-burning '!$C$11*$C$5*D$15</f>
        <v>7.985088543207083E-3</v>
      </c>
      <c r="AC121" s="487">
        <f>E121*'4C2 Open-burning '!$C$10*'4C2 Open-burning '!$C$11*$C$5*E$15</f>
        <v>4.9071827021921035E-3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1.9185398417162724E-2</v>
      </c>
      <c r="AH121" s="493">
        <f t="shared" si="10"/>
        <v>3.9723254282212989E-2</v>
      </c>
      <c r="AI121" s="1389"/>
      <c r="AJ121" s="1388"/>
      <c r="AK121" s="1389"/>
    </row>
    <row r="122" spans="1:37" ht="21.6"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0.11929752604841232</v>
      </c>
      <c r="C123" s="956">
        <f>'Recycling - Case 2'!$AK98*'Recycling - Case 2'!BM98*'4C2 Open-burning '!$B123</f>
        <v>824.36987842601138</v>
      </c>
      <c r="D123" s="957">
        <f>'Recycling - Case 2'!$AK98*'Recycling - Case 2'!BN98*'4C2 Open-burning '!$B123</f>
        <v>860.97621033000439</v>
      </c>
      <c r="E123" s="957">
        <f>'Recycling - Case 2'!$AK98*'Recycling - Case 2'!BO98*'4C2 Open-burning '!$B123</f>
        <v>235.15874027607174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919.38988158299662</v>
      </c>
      <c r="J123" s="958">
        <f>SUM(C123:I123)</f>
        <v>2839.8947106150845</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1.2422589677319875</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31.674820200297397</v>
      </c>
      <c r="R123" s="1383">
        <f t="shared" si="8"/>
        <v>32.917079168029382</v>
      </c>
      <c r="S123" s="485">
        <f>C123*'4C2 Open-burning '!$C$9*'4C2 Open-burning '!$C$11*$C$5</f>
        <v>3.2150425258614441</v>
      </c>
      <c r="T123" s="485">
        <f>D123*'4C2 Open-burning '!$C$9*'4C2 Open-burning '!$C$11*$C$5</f>
        <v>3.3578072202870168</v>
      </c>
      <c r="U123" s="485">
        <f>E123*'4C2 Open-burning '!$C$9*'4C2 Open-burning '!$C$11*$C$5</f>
        <v>0.91711908707667966</v>
      </c>
      <c r="V123" s="485">
        <f>F123*'4C2 Open-burning '!$C$9*'4C2 Open-burning '!$C$11*$C$5</f>
        <v>0</v>
      </c>
      <c r="W123" s="485">
        <f>G123*'4C2 Open-burning '!$C$9*'4C2 Open-burning '!$C$11*$C$5</f>
        <v>0</v>
      </c>
      <c r="X123" s="485">
        <f>H123*'4C2 Open-burning '!$C$9*'4C2 Open-burning '!$C$11*$C$5</f>
        <v>0</v>
      </c>
      <c r="Y123" s="485">
        <f>I123*'4C2 Open-burning '!$C$9*'4C2 Open-burning '!$C$11*$C$5</f>
        <v>3.5856205381736865</v>
      </c>
      <c r="Z123" s="486">
        <f t="shared" si="9"/>
        <v>11.075589371398827</v>
      </c>
      <c r="AA123" s="487">
        <f>C123*'4C2 Open-burning '!$C$10*'4C2 Open-burning '!$C$11*$C$5*C$15</f>
        <v>2.967731562333641E-2</v>
      </c>
      <c r="AB123" s="487">
        <f>D123*'4C2 Open-burning '!$C$10*'4C2 Open-burning '!$C$11*$C$5*D$15</f>
        <v>3.0995143571880154E-2</v>
      </c>
      <c r="AC123" s="487">
        <f>E123*'4C2 Open-burning '!$C$10*'4C2 Open-burning '!$C$11*$C$5*E$15</f>
        <v>1.904785796236181E-2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7.4470580408222728E-2</v>
      </c>
      <c r="AH123" s="937">
        <f t="shared" si="10"/>
        <v>0.15419089756580112</v>
      </c>
      <c r="AI123" s="1389"/>
      <c r="AJ123" s="1388"/>
      <c r="AK123" s="1389"/>
    </row>
    <row r="124" spans="1:37">
      <c r="A124" s="157">
        <f>'Input data'!A119</f>
        <v>2019</v>
      </c>
      <c r="B124" s="417">
        <f>'Recycling - Case 2'!AP99</f>
        <v>0.11764981833612098</v>
      </c>
      <c r="C124" s="527">
        <f>'Recycling - Case 2'!$AK99*'Recycling - Case 2'!BM99*'4C2 Open-burning '!$B124</f>
        <v>809.92590544275481</v>
      </c>
      <c r="D124" s="528">
        <f>'Recycling - Case 2'!$AK99*'Recycling - Case 2'!BN99*'4C2 Open-burning '!$B124</f>
        <v>845.89084944202875</v>
      </c>
      <c r="E124" s="528">
        <f>'Recycling - Case 2'!$AK99*'Recycling - Case 2'!BO99*'4C2 Open-burning '!$B124</f>
        <v>231.03847026110049</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903.28104141525625</v>
      </c>
      <c r="J124" s="744">
        <f t="shared" ref="J124:J155" si="12">SUM(C124:I124)</f>
        <v>2790.1362665611405</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1.2204930645400998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31.119838438838407</v>
      </c>
      <c r="R124" s="1384">
        <f t="shared" si="8"/>
        <v>32.340331503378508</v>
      </c>
      <c r="S124" s="485">
        <f>C124*'4C2 Open-burning '!$C$9*'4C2 Open-burning '!$C$11*$C$5</f>
        <v>3.1587110312267437</v>
      </c>
      <c r="T124" s="485">
        <f>D124*'4C2 Open-burning '!$C$9*'4C2 Open-burning '!$C$11*$C$5</f>
        <v>3.2989743128239124</v>
      </c>
      <c r="U124" s="485">
        <f>E124*'4C2 Open-burning '!$C$9*'4C2 Open-burning '!$C$11*$C$5</f>
        <v>0.90105003401829187</v>
      </c>
      <c r="V124" s="485">
        <f>F124*'4C2 Open-burning '!$C$9*'4C2 Open-burning '!$C$11*$C$5</f>
        <v>0</v>
      </c>
      <c r="W124" s="485">
        <f>G124*'4C2 Open-burning '!$C$9*'4C2 Open-burning '!$C$11*$C$5</f>
        <v>0</v>
      </c>
      <c r="X124" s="485">
        <f>H124*'4C2 Open-burning '!$C$9*'4C2 Open-burning '!$C$11*$C$5</f>
        <v>0</v>
      </c>
      <c r="Y124" s="485">
        <f>I124*'4C2 Open-burning '!$C$9*'4C2 Open-burning '!$C$11*$C$5</f>
        <v>3.5227960615194993</v>
      </c>
      <c r="Z124" s="486">
        <f t="shared" si="9"/>
        <v>10.881531439588446</v>
      </c>
      <c r="AA124" s="487">
        <f>C124*'4C2 Open-burning '!$C$10*'4C2 Open-burning '!$C$11*$C$5*C$15</f>
        <v>2.9157332595939174E-2</v>
      </c>
      <c r="AB124" s="487">
        <f>D124*'4C2 Open-burning '!$C$10*'4C2 Open-burning '!$C$11*$C$5*D$15</f>
        <v>3.0452070579913032E-2</v>
      </c>
      <c r="AC124" s="487">
        <f>E124*'4C2 Open-burning '!$C$10*'4C2 Open-burning '!$C$11*$C$5*E$15</f>
        <v>1.8714116091149143E-2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7.3165764354635746E-2</v>
      </c>
      <c r="AH124" s="488">
        <f t="shared" si="10"/>
        <v>0.15148928362163711</v>
      </c>
      <c r="AI124" s="1389"/>
      <c r="AJ124" s="1388"/>
      <c r="AK124" s="1389"/>
    </row>
    <row r="125" spans="1:37">
      <c r="A125" s="157">
        <f>'Input data'!A120</f>
        <v>2020</v>
      </c>
      <c r="B125" s="417">
        <f>'Recycling - Case 2'!AP100</f>
        <v>0.11516481062608747</v>
      </c>
      <c r="C125" s="527">
        <f>'Recycling - Case 2'!$AK100*'Recycling - Case 2'!BM100*'4C2 Open-burning '!$B125</f>
        <v>788.1132545414664</v>
      </c>
      <c r="D125" s="528">
        <f>'Recycling - Case 2'!$AK100*'Recycling - Case 2'!BN100*'4C2 Open-burning '!$B125</f>
        <v>823.10960281751579</v>
      </c>
      <c r="E125" s="528">
        <f>'Recycling - Case 2'!$AK100*'Recycling - Case 2'!BO100*'4C2 Open-burning '!$B125</f>
        <v>224.81622022229209</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878.95418152629838</v>
      </c>
      <c r="J125" s="744">
        <f t="shared" si="12"/>
        <v>2714.9932591075726</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1.1876231575950891</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30.281729461944028</v>
      </c>
      <c r="R125" s="1384">
        <f t="shared" si="8"/>
        <v>31.469352619539116</v>
      </c>
      <c r="S125" s="485">
        <f>C125*'4C2 Open-burning '!$C$9*'4C2 Open-burning '!$C$11*$C$5</f>
        <v>3.0736416927117189</v>
      </c>
      <c r="T125" s="485">
        <f>D125*'4C2 Open-burning '!$C$9*'4C2 Open-burning '!$C$11*$C$5</f>
        <v>3.2101274509883111</v>
      </c>
      <c r="U125" s="485">
        <f>E125*'4C2 Open-burning '!$C$9*'4C2 Open-burning '!$C$11*$C$5</f>
        <v>0.87678325886693897</v>
      </c>
      <c r="V125" s="485">
        <f>F125*'4C2 Open-burning '!$C$9*'4C2 Open-burning '!$C$11*$C$5</f>
        <v>0</v>
      </c>
      <c r="W125" s="485">
        <f>G125*'4C2 Open-burning '!$C$9*'4C2 Open-burning '!$C$11*$C$5</f>
        <v>0</v>
      </c>
      <c r="X125" s="485">
        <f>H125*'4C2 Open-burning '!$C$9*'4C2 Open-burning '!$C$11*$C$5</f>
        <v>0</v>
      </c>
      <c r="Y125" s="485">
        <f>I125*'4C2 Open-burning '!$C$9*'4C2 Open-burning '!$C$11*$C$5</f>
        <v>3.4279213079525634</v>
      </c>
      <c r="Z125" s="486">
        <f t="shared" si="9"/>
        <v>10.588473710519533</v>
      </c>
      <c r="AA125" s="487">
        <f>C125*'4C2 Open-burning '!$C$10*'4C2 Open-burning '!$C$11*$C$5*C$15</f>
        <v>2.8372077163492788E-2</v>
      </c>
      <c r="AB125" s="487">
        <f>D125*'4C2 Open-burning '!$C$10*'4C2 Open-burning '!$C$11*$C$5*D$15</f>
        <v>2.963194570143057E-2</v>
      </c>
      <c r="AC125" s="487">
        <f>E125*'4C2 Open-burning '!$C$10*'4C2 Open-burning '!$C$11*$C$5*E$15</f>
        <v>1.8210113838005654E-2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7.1195288703630163E-2</v>
      </c>
      <c r="AH125" s="488">
        <f t="shared" si="10"/>
        <v>0.14740942540655916</v>
      </c>
      <c r="AI125" s="1389"/>
      <c r="AJ125" s="1388"/>
      <c r="AK125" s="1389"/>
    </row>
    <row r="126" spans="1:37">
      <c r="A126" s="157">
        <f>'Input data'!A121</f>
        <v>2021</v>
      </c>
      <c r="B126" s="417">
        <f>'Recycling - Case 2'!AP101</f>
        <v>0.10863228387939264</v>
      </c>
      <c r="C126" s="527">
        <f>'Recycling - Case 2'!$AK101*'Recycling - Case 2'!BM101*'4C2 Open-burning '!$B126</f>
        <v>724.54295426384908</v>
      </c>
      <c r="D126" s="528">
        <f>'Recycling - Case 2'!$AK101*'Recycling - Case 2'!BN101*'4C2 Open-burning '!$B126</f>
        <v>756.71644890089601</v>
      </c>
      <c r="E126" s="528">
        <f>'Recycling - Case 2'!$AK101*'Recycling - Case 2'!BO101*'4C2 Open-burning '!$B126</f>
        <v>206.68223434595367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808.05652699769507</v>
      </c>
      <c r="J126" s="744">
        <f t="shared" si="12"/>
        <v>2495.9981645083935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1.0918278384453086</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27.839163468124589</v>
      </c>
      <c r="R126" s="1384">
        <f t="shared" si="8"/>
        <v>28.930991306569897</v>
      </c>
      <c r="S126" s="485">
        <f>C126*'4C2 Open-burning '!$C$9*'4C2 Open-burning '!$C$11*$C$5</f>
        <v>2.8257175216290111</v>
      </c>
      <c r="T126" s="485">
        <f>D126*'4C2 Open-burning '!$C$9*'4C2 Open-burning '!$C$11*$C$5</f>
        <v>2.9511941507134942</v>
      </c>
      <c r="U126" s="485">
        <f>E126*'4C2 Open-burning '!$C$9*'4C2 Open-burning '!$C$11*$C$5</f>
        <v>0.8060607139492193</v>
      </c>
      <c r="V126" s="485">
        <f>F126*'4C2 Open-burning '!$C$9*'4C2 Open-burning '!$C$11*$C$5</f>
        <v>0</v>
      </c>
      <c r="W126" s="485">
        <f>G126*'4C2 Open-burning '!$C$9*'4C2 Open-burning '!$C$11*$C$5</f>
        <v>0</v>
      </c>
      <c r="X126" s="485">
        <f>H126*'4C2 Open-burning '!$C$9*'4C2 Open-burning '!$C$11*$C$5</f>
        <v>0</v>
      </c>
      <c r="Y126" s="485">
        <f>I126*'4C2 Open-burning '!$C$9*'4C2 Open-burning '!$C$11*$C$5</f>
        <v>3.1514204552910106</v>
      </c>
      <c r="Z126" s="486">
        <f t="shared" si="9"/>
        <v>9.7343928415827357</v>
      </c>
      <c r="AA126" s="487">
        <f>C126*'4C2 Open-burning '!$C$10*'4C2 Open-burning '!$C$11*$C$5*C$15</f>
        <v>2.6083546353498566E-2</v>
      </c>
      <c r="AB126" s="487">
        <f>D126*'4C2 Open-burning '!$C$10*'4C2 Open-burning '!$C$11*$C$5*D$15</f>
        <v>2.7241792160432255E-2</v>
      </c>
      <c r="AC126" s="487">
        <f>E126*'4C2 Open-burning '!$C$10*'4C2 Open-burning '!$C$11*$C$5*E$15</f>
        <v>1.6741260982022246E-2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6.5452578686813284E-2</v>
      </c>
      <c r="AH126" s="488">
        <f t="shared" si="10"/>
        <v>0.13551917818276635</v>
      </c>
      <c r="AI126" s="1389"/>
      <c r="AJ126" s="1388"/>
      <c r="AK126" s="1389"/>
    </row>
    <row r="127" spans="1:37">
      <c r="A127" s="157">
        <f>'Input data'!A122</f>
        <v>2022</v>
      </c>
      <c r="B127" s="417">
        <f>'Recycling - Case 2'!AP102</f>
        <v>9.578766486538827E-2</v>
      </c>
      <c r="C127" s="527">
        <f>'Recycling - Case 2'!$AK102*'Recycling - Case 2'!BM102*'4C2 Open-burning '!$B127</f>
        <v>603.00727429219444</v>
      </c>
      <c r="D127" s="528">
        <f>'Recycling - Case 2'!$AK102*'Recycling - Case 2'!BN102*'4C2 Open-burning '!$B127</f>
        <v>629.7839494242462</v>
      </c>
      <c r="E127" s="528">
        <f>'Recycling - Case 2'!$AK102*'Recycling - Case 2'!BO102*'4C2 Open-burning '!$B127</f>
        <v>172.01311536346623</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672.51218295810713</v>
      </c>
      <c r="J127" s="744">
        <f t="shared" si="12"/>
        <v>2077.3165220380138</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0.90868336374366121</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23.169389727272705</v>
      </c>
      <c r="R127" s="1384">
        <f t="shared" si="8"/>
        <v>24.078073091016368</v>
      </c>
      <c r="S127" s="485">
        <f>C127*'4C2 Open-burning '!$C$9*'4C2 Open-burning '!$C$11*$C$5</f>
        <v>2.3517283697395581</v>
      </c>
      <c r="T127" s="485">
        <f>D127*'4C2 Open-burning '!$C$9*'4C2 Open-burning '!$C$11*$C$5</f>
        <v>2.4561574027545601</v>
      </c>
      <c r="U127" s="485">
        <f>E127*'4C2 Open-burning '!$C$9*'4C2 Open-burning '!$C$11*$C$5</f>
        <v>0.67085114991751826</v>
      </c>
      <c r="V127" s="485">
        <f>F127*'4C2 Open-burning '!$C$9*'4C2 Open-burning '!$C$11*$C$5</f>
        <v>0</v>
      </c>
      <c r="W127" s="485">
        <f>G127*'4C2 Open-burning '!$C$9*'4C2 Open-burning '!$C$11*$C$5</f>
        <v>0</v>
      </c>
      <c r="X127" s="485">
        <f>H127*'4C2 Open-burning '!$C$9*'4C2 Open-burning '!$C$11*$C$5</f>
        <v>0</v>
      </c>
      <c r="Y127" s="485">
        <f>I127*'4C2 Open-burning '!$C$9*'4C2 Open-burning '!$C$11*$C$5</f>
        <v>2.6227975135366175</v>
      </c>
      <c r="Z127" s="486">
        <f t="shared" si="9"/>
        <v>8.1015344359482544</v>
      </c>
      <c r="AA127" s="487">
        <f>C127*'4C2 Open-burning '!$C$10*'4C2 Open-burning '!$C$11*$C$5*C$15</f>
        <v>2.1708261874519002E-2</v>
      </c>
      <c r="AB127" s="487">
        <f>D127*'4C2 Open-burning '!$C$10*'4C2 Open-burning '!$C$11*$C$5*D$15</f>
        <v>2.2672222179272863E-2</v>
      </c>
      <c r="AC127" s="487">
        <f>E127*'4C2 Open-burning '!$C$10*'4C2 Open-burning '!$C$11*$C$5*E$15</f>
        <v>1.3933062344440762E-2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5.4473486819606676E-2</v>
      </c>
      <c r="AH127" s="488">
        <f t="shared" si="10"/>
        <v>0.11278703321783931</v>
      </c>
      <c r="AI127" s="1389"/>
      <c r="AJ127" s="1388"/>
      <c r="AK127" s="1389"/>
    </row>
    <row r="128" spans="1:37">
      <c r="A128" s="157">
        <f>'Input data'!A123</f>
        <v>2023</v>
      </c>
      <c r="B128" s="417">
        <f>'Recycling - Case 2'!AP103</f>
        <v>9.1876370943876864E-2</v>
      </c>
      <c r="C128" s="527">
        <f>'Recycling - Case 2'!$AK103*'Recycling - Case 2'!BM103*'4C2 Open-burning '!$B128</f>
        <v>571.86963086399362</v>
      </c>
      <c r="D128" s="528">
        <f>'Recycling - Case 2'!$AK103*'Recycling - Case 2'!BN103*'4C2 Open-burning '!$B128</f>
        <v>597.26363185926448</v>
      </c>
      <c r="E128" s="528">
        <f>'Recycling - Case 2'!$AK103*'Recycling - Case 2'!BO103*'4C2 Open-burning '!$B128</f>
        <v>163.130829395277</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637.78549648711839</v>
      </c>
      <c r="J128" s="744">
        <f t="shared" si="12"/>
        <v>1970.0495886056538</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0.86176144459666615</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21.9729859249742</v>
      </c>
      <c r="R128" s="1384">
        <f t="shared" si="8"/>
        <v>22.834747369570866</v>
      </c>
      <c r="S128" s="485">
        <f>C128*'4C2 Open-burning '!$C$9*'4C2 Open-burning '!$C$11*$C$5</f>
        <v>2.230291560369575</v>
      </c>
      <c r="T128" s="485">
        <f>D128*'4C2 Open-burning '!$C$9*'4C2 Open-burning '!$C$11*$C$5</f>
        <v>2.3293281642511312</v>
      </c>
      <c r="U128" s="485">
        <f>E128*'4C2 Open-burning '!$C$9*'4C2 Open-burning '!$C$11*$C$5</f>
        <v>0.63621023464158022</v>
      </c>
      <c r="V128" s="485">
        <f>F128*'4C2 Open-burning '!$C$9*'4C2 Open-burning '!$C$11*$C$5</f>
        <v>0</v>
      </c>
      <c r="W128" s="485">
        <f>G128*'4C2 Open-burning '!$C$9*'4C2 Open-burning '!$C$11*$C$5</f>
        <v>0</v>
      </c>
      <c r="X128" s="485">
        <f>H128*'4C2 Open-burning '!$C$9*'4C2 Open-burning '!$C$11*$C$5</f>
        <v>0</v>
      </c>
      <c r="Y128" s="485">
        <f>I128*'4C2 Open-burning '!$C$9*'4C2 Open-burning '!$C$11*$C$5</f>
        <v>2.4873634362997614</v>
      </c>
      <c r="Z128" s="486">
        <f t="shared" si="9"/>
        <v>7.6831933955620482</v>
      </c>
      <c r="AA128" s="487">
        <f>C128*'4C2 Open-burning '!$C$10*'4C2 Open-burning '!$C$11*$C$5*C$15</f>
        <v>2.0587306711103773E-2</v>
      </c>
      <c r="AB128" s="487">
        <f>D128*'4C2 Open-burning '!$C$10*'4C2 Open-burning '!$C$11*$C$5*D$15</f>
        <v>2.150149074693352E-2</v>
      </c>
      <c r="AC128" s="487">
        <f>E128*'4C2 Open-burning '!$C$10*'4C2 Open-burning '!$C$11*$C$5*E$15</f>
        <v>1.3213597181017438E-2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5.1660625215456585E-2</v>
      </c>
      <c r="AH128" s="488">
        <f t="shared" si="10"/>
        <v>0.10696301985451132</v>
      </c>
      <c r="AI128" s="1389"/>
      <c r="AJ128" s="1388"/>
      <c r="AK128" s="1389"/>
    </row>
    <row r="129" spans="1:37">
      <c r="A129" s="157">
        <f>'Input data'!A124</f>
        <v>2024</v>
      </c>
      <c r="B129" s="417">
        <f>'Recycling - Case 2'!AP104</f>
        <v>8.7781287828344545E-2</v>
      </c>
      <c r="C129" s="527">
        <f>'Recycling - Case 2'!$AK104*'Recycling - Case 2'!BM104*'4C2 Open-burning '!$B129</f>
        <v>540.19893182009275</v>
      </c>
      <c r="D129" s="528">
        <f>'Recycling - Case 2'!$AK104*'Recycling - Case 2'!BN104*'4C2 Open-burning '!$B129</f>
        <v>564.18658822275654</v>
      </c>
      <c r="E129" s="528">
        <f>'Recycling - Case 2'!$AK104*'Recycling - Case 2'!BO104*'4C2 Open-burning '!$B129</f>
        <v>154.09648463604552</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602.46431238561058</v>
      </c>
      <c r="J129" s="744">
        <f t="shared" si="12"/>
        <v>1860.9463170645054</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0.81403625359775944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20.756100490309052</v>
      </c>
      <c r="R129" s="1384">
        <f t="shared" si="8"/>
        <v>21.570136743906811</v>
      </c>
      <c r="S129" s="485">
        <f>C129*'4C2 Open-burning '!$C$9*'4C2 Open-burning '!$C$11*$C$5</f>
        <v>2.1067758340983613</v>
      </c>
      <c r="T129" s="485">
        <f>D129*'4C2 Open-burning '!$C$9*'4C2 Open-burning '!$C$11*$C$5</f>
        <v>2.2003276940687506</v>
      </c>
      <c r="U129" s="485">
        <f>E129*'4C2 Open-burning '!$C$9*'4C2 Open-burning '!$C$11*$C$5</f>
        <v>0.6009762900805774</v>
      </c>
      <c r="V129" s="485">
        <f>F129*'4C2 Open-burning '!$C$9*'4C2 Open-burning '!$C$11*$C$5</f>
        <v>0</v>
      </c>
      <c r="W129" s="485">
        <f>G129*'4C2 Open-burning '!$C$9*'4C2 Open-burning '!$C$11*$C$5</f>
        <v>0</v>
      </c>
      <c r="X129" s="485">
        <f>H129*'4C2 Open-burning '!$C$9*'4C2 Open-burning '!$C$11*$C$5</f>
        <v>0</v>
      </c>
      <c r="Y129" s="485">
        <f>I129*'4C2 Open-burning '!$C$9*'4C2 Open-burning '!$C$11*$C$5</f>
        <v>2.3496108183038813</v>
      </c>
      <c r="Z129" s="486">
        <f t="shared" si="9"/>
        <v>7.2576906365515708</v>
      </c>
      <c r="AA129" s="487">
        <f>C129*'4C2 Open-burning '!$C$10*'4C2 Open-burning '!$C$11*$C$5*C$15</f>
        <v>1.9447161545523339E-2</v>
      </c>
      <c r="AB129" s="487">
        <f>D129*'4C2 Open-burning '!$C$10*'4C2 Open-burning '!$C$11*$C$5*D$15</f>
        <v>2.0310717176019233E-2</v>
      </c>
      <c r="AC129" s="487">
        <f>E129*'4C2 Open-burning '!$C$10*'4C2 Open-burning '!$C$11*$C$5*E$15</f>
        <v>1.2481815255519687E-2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4.8799609303234445E-2</v>
      </c>
      <c r="AH129" s="488">
        <f t="shared" si="10"/>
        <v>0.1010393032802967</v>
      </c>
      <c r="AI129" s="1389"/>
      <c r="AJ129" s="1388"/>
      <c r="AK129" s="1389"/>
    </row>
    <row r="130" spans="1:37">
      <c r="A130" s="157">
        <f>'Input data'!A125</f>
        <v>2025</v>
      </c>
      <c r="B130" s="417">
        <f>'Recycling - Case 2'!AP105</f>
        <v>8.349396478864321E-2</v>
      </c>
      <c r="C130" s="527">
        <f>'Recycling - Case 2'!$AK105*'Recycling - Case 2'!BM105*'4C2 Open-burning '!$B130</f>
        <v>507.97598639462257</v>
      </c>
      <c r="D130" s="528">
        <f>'Recycling - Case 2'!$AK105*'Recycling - Case 2'!BN105*'4C2 Open-burning '!$B130</f>
        <v>530.53277557853119</v>
      </c>
      <c r="E130" s="528">
        <f>'Recycling - Case 2'!$AK105*'Recycling - Case 2'!BO105*'4C2 Open-burning '!$B130</f>
        <v>144.90460675144101</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566.52722788715357</v>
      </c>
      <c r="J130" s="744">
        <f t="shared" si="12"/>
        <v>1749.9405966117483</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0.7654788718094323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19.517996055168211</v>
      </c>
      <c r="R130" s="1384">
        <f t="shared" si="8"/>
        <v>20.283474926977643</v>
      </c>
      <c r="S130" s="485">
        <f>C130*'4C2 Open-burning '!$C$9*'4C2 Open-burning '!$C$11*$C$5</f>
        <v>1.9811063469390278</v>
      </c>
      <c r="T130" s="485">
        <f>D130*'4C2 Open-burning '!$C$9*'4C2 Open-burning '!$C$11*$C$5</f>
        <v>2.0690778247562713</v>
      </c>
      <c r="U130" s="485">
        <f>E130*'4C2 Open-burning '!$C$9*'4C2 Open-burning '!$C$11*$C$5</f>
        <v>0.5651279663306199</v>
      </c>
      <c r="V130" s="485">
        <f>F130*'4C2 Open-burning '!$C$9*'4C2 Open-burning '!$C$11*$C$5</f>
        <v>0</v>
      </c>
      <c r="W130" s="485">
        <f>G130*'4C2 Open-burning '!$C$9*'4C2 Open-burning '!$C$11*$C$5</f>
        <v>0</v>
      </c>
      <c r="X130" s="485">
        <f>H130*'4C2 Open-burning '!$C$9*'4C2 Open-burning '!$C$11*$C$5</f>
        <v>0</v>
      </c>
      <c r="Y130" s="485">
        <f>I130*'4C2 Open-burning '!$C$9*'4C2 Open-burning '!$C$11*$C$5</f>
        <v>2.2094561887598987</v>
      </c>
      <c r="Z130" s="486">
        <f t="shared" si="9"/>
        <v>6.8247683267858177</v>
      </c>
      <c r="AA130" s="487">
        <f>C130*'4C2 Open-burning '!$C$10*'4C2 Open-burning '!$C$11*$C$5*C$15</f>
        <v>1.8287135510206411E-2</v>
      </c>
      <c r="AB130" s="487">
        <f>D130*'4C2 Open-burning '!$C$10*'4C2 Open-burning '!$C$11*$C$5*D$15</f>
        <v>1.9099179920827124E-2</v>
      </c>
      <c r="AC130" s="487">
        <f>E130*'4C2 Open-burning '!$C$10*'4C2 Open-burning '!$C$11*$C$5*E$15</f>
        <v>1.173727314686672E-2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4.5888705458859438E-2</v>
      </c>
      <c r="AH130" s="488">
        <f t="shared" si="10"/>
        <v>9.501229403675969E-2</v>
      </c>
      <c r="AI130" s="1389"/>
      <c r="AJ130" s="1388"/>
      <c r="AK130" s="1389"/>
    </row>
    <row r="131" spans="1:37">
      <c r="A131" s="157">
        <f>'Input data'!A126</f>
        <v>2026</v>
      </c>
      <c r="B131" s="417">
        <f>'Recycling - Case 2'!AP106</f>
        <v>7.9101736825983426E-2</v>
      </c>
      <c r="C131" s="527">
        <f>'Recycling - Case 2'!$AK106*'Recycling - Case 2'!BM106*'4C2 Open-burning '!$B131</f>
        <v>475.46267640855109</v>
      </c>
      <c r="D131" s="528">
        <f>'Recycling - Case 2'!$AK106*'Recycling - Case 2'!BN106*'4C2 Open-burning '!$B131</f>
        <v>496.57570466936528</v>
      </c>
      <c r="E131" s="528">
        <f>'Recycling - Case 2'!$AK106*'Recycling - Case 2'!BO106*'4C2 Open-burning '!$B131</f>
        <v>135.62989982846574</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530.26631030603107</v>
      </c>
      <c r="J131" s="744">
        <f t="shared" si="12"/>
        <v>1637.9345912124131</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0.71648393402984623</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18.268734922663381</v>
      </c>
      <c r="R131" s="1384">
        <f t="shared" si="8"/>
        <v>18.985218856693226</v>
      </c>
      <c r="S131" s="485">
        <f>C131*'4C2 Open-burning '!$C$9*'4C2 Open-burning '!$C$11*$C$5</f>
        <v>1.8543044379933491</v>
      </c>
      <c r="T131" s="485">
        <f>D131*'4C2 Open-burning '!$C$9*'4C2 Open-burning '!$C$11*$C$5</f>
        <v>1.9366452482105245</v>
      </c>
      <c r="U131" s="485">
        <f>E131*'4C2 Open-burning '!$C$9*'4C2 Open-burning '!$C$11*$C$5</f>
        <v>0.5289566093310164</v>
      </c>
      <c r="V131" s="485">
        <f>F131*'4C2 Open-burning '!$C$9*'4C2 Open-burning '!$C$11*$C$5</f>
        <v>0</v>
      </c>
      <c r="W131" s="485">
        <f>G131*'4C2 Open-burning '!$C$9*'4C2 Open-burning '!$C$11*$C$5</f>
        <v>0</v>
      </c>
      <c r="X131" s="485">
        <f>H131*'4C2 Open-burning '!$C$9*'4C2 Open-burning '!$C$11*$C$5</f>
        <v>0</v>
      </c>
      <c r="Y131" s="485">
        <f>I131*'4C2 Open-burning '!$C$9*'4C2 Open-burning '!$C$11*$C$5</f>
        <v>2.0680386101935211</v>
      </c>
      <c r="Z131" s="486">
        <f t="shared" si="9"/>
        <v>6.3879449057284114</v>
      </c>
      <c r="AA131" s="487">
        <f>C131*'4C2 Open-burning '!$C$10*'4C2 Open-burning '!$C$11*$C$5*C$15</f>
        <v>1.7116656350707839E-2</v>
      </c>
      <c r="AB131" s="487">
        <f>D131*'4C2 Open-burning '!$C$10*'4C2 Open-burning '!$C$11*$C$5*D$15</f>
        <v>1.787672536809715E-2</v>
      </c>
      <c r="AC131" s="487">
        <f>E131*'4C2 Open-burning '!$C$10*'4C2 Open-burning '!$C$11*$C$5*E$15</f>
        <v>1.0986021886105724E-2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4.2951571134788515E-2</v>
      </c>
      <c r="AH131" s="488">
        <f t="shared" si="10"/>
        <v>8.8930974739699228E-2</v>
      </c>
      <c r="AI131" s="1389"/>
      <c r="AJ131" s="1388"/>
      <c r="AK131" s="1389"/>
    </row>
    <row r="132" spans="1:37">
      <c r="A132" s="157">
        <f>'Input data'!A127</f>
        <v>2027</v>
      </c>
      <c r="B132" s="417">
        <f>'Recycling - Case 2'!AP107</f>
        <v>7.449053629684603E-2</v>
      </c>
      <c r="C132" s="527">
        <f>'Recycling - Case 2'!$AK107*'Recycling - Case 2'!BM107*'4C2 Open-burning '!$B132</f>
        <v>442.31301577741141</v>
      </c>
      <c r="D132" s="528">
        <f>'Recycling - Case 2'!$AK107*'Recycling - Case 2'!BN107*'4C2 Open-burning '!$B132</f>
        <v>461.954025820038</v>
      </c>
      <c r="E132" s="528">
        <f>'Recycling - Case 2'!$AK107*'Recycling - Case 2'!BO107*'4C2 Open-burning '!$B132</f>
        <v>126.17366830108136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493.29569388762025</v>
      </c>
      <c r="J132" s="744">
        <f t="shared" si="12"/>
        <v>1523.736403786151</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0.6665300671140244</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16.995023245816292</v>
      </c>
      <c r="R132" s="1384">
        <f t="shared" si="8"/>
        <v>17.661553312930316</v>
      </c>
      <c r="S132" s="485">
        <f>C132*'4C2 Open-burning '!$C$9*'4C2 Open-burning '!$C$11*$C$5</f>
        <v>1.7250207615319046</v>
      </c>
      <c r="T132" s="485">
        <f>D132*'4C2 Open-burning '!$C$9*'4C2 Open-burning '!$C$11*$C$5</f>
        <v>1.8016207006981479</v>
      </c>
      <c r="U132" s="485">
        <f>E132*'4C2 Open-burning '!$C$9*'4C2 Open-burning '!$C$11*$C$5</f>
        <v>0.49207730637421726</v>
      </c>
      <c r="V132" s="485">
        <f>F132*'4C2 Open-burning '!$C$9*'4C2 Open-burning '!$C$11*$C$5</f>
        <v>0</v>
      </c>
      <c r="W132" s="485">
        <f>G132*'4C2 Open-burning '!$C$9*'4C2 Open-burning '!$C$11*$C$5</f>
        <v>0</v>
      </c>
      <c r="X132" s="485">
        <f>H132*'4C2 Open-burning '!$C$9*'4C2 Open-burning '!$C$11*$C$5</f>
        <v>0</v>
      </c>
      <c r="Y132" s="485">
        <f>I132*'4C2 Open-burning '!$C$9*'4C2 Open-burning '!$C$11*$C$5</f>
        <v>1.9238532061617186</v>
      </c>
      <c r="Z132" s="486">
        <f t="shared" si="9"/>
        <v>5.942571974765988</v>
      </c>
      <c r="AA132" s="487">
        <f>C132*'4C2 Open-burning '!$C$10*'4C2 Open-burning '!$C$11*$C$5*C$15</f>
        <v>1.5923268567986811E-2</v>
      </c>
      <c r="AB132" s="487">
        <f>D132*'4C2 Open-burning '!$C$10*'4C2 Open-burning '!$C$11*$C$5*D$15</f>
        <v>1.6630344929521368E-2</v>
      </c>
      <c r="AC132" s="487">
        <f>E132*'4C2 Open-burning '!$C$10*'4C2 Open-burning '!$C$11*$C$5*E$15</f>
        <v>1.0220067132387588E-2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3.9956951204897243E-2</v>
      </c>
      <c r="AH132" s="488">
        <f t="shared" si="10"/>
        <v>8.2730631834793011E-2</v>
      </c>
      <c r="AI132" s="1389"/>
      <c r="AJ132" s="1388"/>
      <c r="AK132" s="1389"/>
    </row>
    <row r="133" spans="1:37">
      <c r="A133" s="157">
        <f>'Input data'!A128</f>
        <v>2028</v>
      </c>
      <c r="B133" s="417">
        <f>'Recycling - Case 2'!AP108</f>
        <v>6.9650860429227149E-2</v>
      </c>
      <c r="C133" s="527">
        <f>'Recycling - Case 2'!$AK108*'Recycling - Case 2'!BM108*'4C2 Open-burning '!$B133</f>
        <v>408.50936814772342</v>
      </c>
      <c r="D133" s="528">
        <f>'Recycling - Case 2'!$AK108*'Recycling - Case 2'!BN108*'4C2 Open-burning '!$B133</f>
        <v>426.64931953078241</v>
      </c>
      <c r="E133" s="528">
        <f>'Recycling - Case 2'!$AK108*'Recycling - Case 2'!BO108*'4C2 Open-burning '!$B133</f>
        <v>116.53088124472833</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455.59570944535562</v>
      </c>
      <c r="J133" s="744">
        <f t="shared" si="12"/>
        <v>1407.2852783685898</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0.61559069449865167</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15.696183381811391</v>
      </c>
      <c r="R133" s="1384">
        <f t="shared" si="8"/>
        <v>16.311774076310044</v>
      </c>
      <c r="S133" s="485">
        <f>C133*'4C2 Open-burning '!$C$9*'4C2 Open-burning '!$C$11*$C$5</f>
        <v>1.5931865357761212</v>
      </c>
      <c r="T133" s="485">
        <f>D133*'4C2 Open-burning '!$C$9*'4C2 Open-burning '!$C$11*$C$5</f>
        <v>1.6639323461700515</v>
      </c>
      <c r="U133" s="485">
        <f>E133*'4C2 Open-burning '!$C$9*'4C2 Open-burning '!$C$11*$C$5</f>
        <v>0.4544704368544405</v>
      </c>
      <c r="V133" s="485">
        <f>F133*'4C2 Open-burning '!$C$9*'4C2 Open-burning '!$C$11*$C$5</f>
        <v>0</v>
      </c>
      <c r="W133" s="485">
        <f>G133*'4C2 Open-burning '!$C$9*'4C2 Open-burning '!$C$11*$C$5</f>
        <v>0</v>
      </c>
      <c r="X133" s="485">
        <f>H133*'4C2 Open-burning '!$C$9*'4C2 Open-burning '!$C$11*$C$5</f>
        <v>0</v>
      </c>
      <c r="Y133" s="485">
        <f>I133*'4C2 Open-burning '!$C$9*'4C2 Open-burning '!$C$11*$C$5</f>
        <v>1.7768232668368868</v>
      </c>
      <c r="Z133" s="486">
        <f t="shared" si="9"/>
        <v>5.4884125856374997</v>
      </c>
      <c r="AA133" s="487">
        <f>C133*'4C2 Open-burning '!$C$10*'4C2 Open-burning '!$C$11*$C$5*C$15</f>
        <v>1.4706337253318042E-2</v>
      </c>
      <c r="AB133" s="487">
        <f>D133*'4C2 Open-burning '!$C$10*'4C2 Open-burning '!$C$11*$C$5*D$15</f>
        <v>1.5359375503108168E-2</v>
      </c>
      <c r="AC133" s="487">
        <f>E133*'4C2 Open-burning '!$C$10*'4C2 Open-burning '!$C$11*$C$5*E$15</f>
        <v>9.4390013808229936E-3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3.6903252465073803E-2</v>
      </c>
      <c r="AH133" s="488">
        <f t="shared" si="10"/>
        <v>7.6407966602323005E-2</v>
      </c>
      <c r="AI133" s="1389"/>
      <c r="AJ133" s="1388"/>
      <c r="AK133" s="1389"/>
    </row>
    <row r="134" spans="1:37">
      <c r="A134" s="157">
        <f>'Input data'!A129</f>
        <v>2029</v>
      </c>
      <c r="B134" s="417">
        <f>'Recycling - Case 2'!AP109</f>
        <v>6.4568981431791031E-2</v>
      </c>
      <c r="C134" s="527">
        <f>'Recycling - Case 2'!$AK109*'Recycling - Case 2'!BM109*'4C2 Open-burning '!$B134</f>
        <v>374.02309963439103</v>
      </c>
      <c r="D134" s="528">
        <f>'Recycling - Case 2'!$AK109*'Recycling - Case 2'!BN109*'4C2 Open-burning '!$B134</f>
        <v>390.63168042232394</v>
      </c>
      <c r="E134" s="528">
        <f>'Recycling - Case 2'!$AK109*'Recycling - Case 2'!BO109*'4C2 Open-burning '!$B134</f>
        <v>106.69337059246904</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417.13442264379307</v>
      </c>
      <c r="J134" s="744">
        <f t="shared" si="12"/>
        <v>1288.4825732929771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0.56362266722660059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14.371115128923957</v>
      </c>
      <c r="R134" s="1384">
        <f t="shared" si="8"/>
        <v>14.934737796150557</v>
      </c>
      <c r="S134" s="485">
        <f>C134*'4C2 Open-burning '!$C$9*'4C2 Open-burning '!$C$11*$C$5</f>
        <v>1.458690088574125</v>
      </c>
      <c r="T134" s="485">
        <f>D134*'4C2 Open-burning '!$C$9*'4C2 Open-burning '!$C$11*$C$5</f>
        <v>1.5234635536470635</v>
      </c>
      <c r="U134" s="485">
        <f>E134*'4C2 Open-burning '!$C$9*'4C2 Open-burning '!$C$11*$C$5</f>
        <v>0.41610414531062923</v>
      </c>
      <c r="V134" s="485">
        <f>F134*'4C2 Open-burning '!$C$9*'4C2 Open-burning '!$C$11*$C$5</f>
        <v>0</v>
      </c>
      <c r="W134" s="485">
        <f>G134*'4C2 Open-burning '!$C$9*'4C2 Open-burning '!$C$11*$C$5</f>
        <v>0</v>
      </c>
      <c r="X134" s="485">
        <f>H134*'4C2 Open-burning '!$C$9*'4C2 Open-burning '!$C$11*$C$5</f>
        <v>0</v>
      </c>
      <c r="Y134" s="485">
        <f>I134*'4C2 Open-burning '!$C$9*'4C2 Open-burning '!$C$11*$C$5</f>
        <v>1.6268242483107931</v>
      </c>
      <c r="Z134" s="486">
        <f t="shared" si="9"/>
        <v>5.0250820358426109</v>
      </c>
      <c r="AA134" s="487">
        <f>C134*'4C2 Open-burning '!$C$10*'4C2 Open-burning '!$C$11*$C$5*C$15</f>
        <v>1.3464831586838075E-2</v>
      </c>
      <c r="AB134" s="487">
        <f>D134*'4C2 Open-burning '!$C$10*'4C2 Open-burning '!$C$11*$C$5*D$15</f>
        <v>1.406274049520366E-2</v>
      </c>
      <c r="AC134" s="487">
        <f>E134*'4C2 Open-burning '!$C$10*'4C2 Open-burning '!$C$11*$C$5*E$15</f>
        <v>8.642163017989991E-3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3.3787888234147238E-2</v>
      </c>
      <c r="AH134" s="488">
        <f t="shared" si="10"/>
        <v>6.9957623334178959E-2</v>
      </c>
      <c r="AI134" s="1389"/>
      <c r="AJ134" s="1388"/>
      <c r="AK134" s="1389"/>
    </row>
    <row r="135" spans="1:37">
      <c r="A135" s="157">
        <f>'Input data'!A130</f>
        <v>2030</v>
      </c>
      <c r="B135" s="417">
        <f>'Recycling - Case 2'!AP110</f>
        <v>5.9232960417564769E-2</v>
      </c>
      <c r="C135" s="527">
        <f>'Recycling - Case 2'!$AK110*'Recycling - Case 2'!BM110*'4C2 Open-burning '!$B135</f>
        <v>338.8316654521841</v>
      </c>
      <c r="D135" s="528">
        <f>'Recycling - Case 2'!$AK110*'Recycling - Case 2'!BN110*'4C2 Open-burning '!$B135</f>
        <v>353.87756260311767</v>
      </c>
      <c r="E135" s="528">
        <f>'Recycling - Case 2'!$AK110*'Recycling - Case 2'!BO110*'4C2 Open-burning '!$B135</f>
        <v>96.654705246524045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377.88669010013126</v>
      </c>
      <c r="J135" s="744">
        <f t="shared" si="12"/>
        <v>1167.250623401957</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0.51059201212349781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13.018952247329722</v>
      </c>
      <c r="R135" s="1384">
        <f t="shared" si="8"/>
        <v>13.529544259453219</v>
      </c>
      <c r="S135" s="485">
        <f>C135*'4C2 Open-burning '!$C$9*'4C2 Open-burning '!$C$11*$C$5</f>
        <v>1.3214434952635177</v>
      </c>
      <c r="T135" s="485">
        <f>D135*'4C2 Open-burning '!$C$9*'4C2 Open-burning '!$C$11*$C$5</f>
        <v>1.3801224941521588</v>
      </c>
      <c r="U135" s="485">
        <f>E135*'4C2 Open-burning '!$C$9*'4C2 Open-burning '!$C$11*$C$5</f>
        <v>0.37695335046144374</v>
      </c>
      <c r="V135" s="485">
        <f>F135*'4C2 Open-burning '!$C$9*'4C2 Open-burning '!$C$11*$C$5</f>
        <v>0</v>
      </c>
      <c r="W135" s="485">
        <f>G135*'4C2 Open-burning '!$C$9*'4C2 Open-burning '!$C$11*$C$5</f>
        <v>0</v>
      </c>
      <c r="X135" s="485">
        <f>H135*'4C2 Open-burning '!$C$9*'4C2 Open-burning '!$C$11*$C$5</f>
        <v>0</v>
      </c>
      <c r="Y135" s="485">
        <f>I135*'4C2 Open-burning '!$C$9*'4C2 Open-burning '!$C$11*$C$5</f>
        <v>1.4737580913905119</v>
      </c>
      <c r="Z135" s="486">
        <f t="shared" si="9"/>
        <v>4.5522774312676324</v>
      </c>
      <c r="AA135" s="487">
        <f>C135*'4C2 Open-burning '!$C$10*'4C2 Open-burning '!$C$11*$C$5*C$15</f>
        <v>1.2197939956278627E-2</v>
      </c>
      <c r="AB135" s="487">
        <f>D135*'4C2 Open-burning '!$C$10*'4C2 Open-burning '!$C$11*$C$5*D$15</f>
        <v>1.2739592253712234E-2</v>
      </c>
      <c r="AC135" s="487">
        <f>E135*'4C2 Open-burning '!$C$10*'4C2 Open-burning '!$C$11*$C$5*E$15</f>
        <v>7.8290311249684472E-3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3.0608821898110632E-2</v>
      </c>
      <c r="AH135" s="488">
        <f t="shared" si="10"/>
        <v>6.3375385233069945E-2</v>
      </c>
      <c r="AI135" s="1389"/>
      <c r="AJ135" s="1388"/>
      <c r="AK135" s="1389"/>
    </row>
    <row r="136" spans="1:37">
      <c r="A136" s="157">
        <f>'Input data'!A131</f>
        <v>2031</v>
      </c>
      <c r="B136" s="417">
        <f>'Recycling - Case 2'!AP111</f>
        <v>5.3304020922571353E-2</v>
      </c>
      <c r="C136" s="527">
        <f>'Recycling - Case 2'!$AK111*'Recycling - Case 2'!BM111*'4C2 Open-burning '!$B136</f>
        <v>298.82637832379186</v>
      </c>
      <c r="D136" s="528">
        <f>'Recycling - Case 2'!$AK111*'Recycling - Case 2'!BN111*'4C2 Open-burning '!$B136</f>
        <v>312.09583160303453</v>
      </c>
      <c r="E136" s="528">
        <f>'Recycling - Case 2'!$AK111*'Recycling - Case 2'!BO111*'4C2 Open-burning '!$B136</f>
        <v>85.242846114240606</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333.27024163661861</v>
      </c>
      <c r="J136" s="744">
        <f t="shared" si="12"/>
        <v>1029.4352976776854</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0.45030726859693199</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11.481826364864784</v>
      </c>
      <c r="R136" s="1384">
        <f t="shared" si="8"/>
        <v>11.932133633461715</v>
      </c>
      <c r="S136" s="485">
        <f>C136*'4C2 Open-burning '!$C$9*'4C2 Open-burning '!$C$11*$C$5</f>
        <v>1.1654228754627882</v>
      </c>
      <c r="T136" s="485">
        <f>D136*'4C2 Open-burning '!$C$9*'4C2 Open-burning '!$C$11*$C$5</f>
        <v>1.2171737432518346</v>
      </c>
      <c r="U136" s="485">
        <f>E136*'4C2 Open-burning '!$C$9*'4C2 Open-burning '!$C$11*$C$5</f>
        <v>0.33244709984553839</v>
      </c>
      <c r="V136" s="485">
        <f>F136*'4C2 Open-burning '!$C$9*'4C2 Open-burning '!$C$11*$C$5</f>
        <v>0</v>
      </c>
      <c r="W136" s="485">
        <f>G136*'4C2 Open-burning '!$C$9*'4C2 Open-burning '!$C$11*$C$5</f>
        <v>0</v>
      </c>
      <c r="X136" s="485">
        <f>H136*'4C2 Open-burning '!$C$9*'4C2 Open-burning '!$C$11*$C$5</f>
        <v>0</v>
      </c>
      <c r="Y136" s="485">
        <f>I136*'4C2 Open-burning '!$C$9*'4C2 Open-burning '!$C$11*$C$5</f>
        <v>1.2997539423828126</v>
      </c>
      <c r="Z136" s="486">
        <f t="shared" si="9"/>
        <v>4.0147976609429739</v>
      </c>
      <c r="AA136" s="487">
        <f>C136*'4C2 Open-burning '!$C$10*'4C2 Open-burning '!$C$11*$C$5*C$15</f>
        <v>1.0757749619656509E-2</v>
      </c>
      <c r="AB136" s="487">
        <f>D136*'4C2 Open-burning '!$C$10*'4C2 Open-burning '!$C$11*$C$5*D$15</f>
        <v>1.1235449937709243E-2</v>
      </c>
      <c r="AC136" s="487">
        <f>E136*'4C2 Open-burning '!$C$10*'4C2 Open-burning '!$C$11*$C$5*E$15</f>
        <v>6.9046705352534881E-3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2.6994889572566103E-2</v>
      </c>
      <c r="AH136" s="488">
        <f t="shared" si="10"/>
        <v>5.5892759665185344E-2</v>
      </c>
      <c r="AI136" s="1389"/>
      <c r="AJ136" s="1388"/>
      <c r="AK136" s="1389"/>
    </row>
    <row r="137" spans="1:37">
      <c r="A137" s="157">
        <f>'Input data'!A132</f>
        <v>2032</v>
      </c>
      <c r="B137" s="417">
        <f>'Recycling - Case 2'!AP112</f>
        <v>4.716975235952417E-2</v>
      </c>
      <c r="C137" s="527">
        <f>'Recycling - Case 2'!$AK112*'Recycling - Case 2'!BM112*'4C2 Open-burning '!$B137</f>
        <v>259.06945825683783</v>
      </c>
      <c r="D137" s="528">
        <f>'Recycling - Case 2'!$AK112*'Recycling - Case 2'!BN112*'4C2 Open-burning '!$B137</f>
        <v>270.57349646022863</v>
      </c>
      <c r="E137" s="528">
        <f>'Recycling - Case 2'!$AK112*'Recycling - Case 2'!BO112*'4C2 Open-burning '!$B137</f>
        <v>73.901835865234403</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288.93078796534752</v>
      </c>
      <c r="J137" s="744">
        <f t="shared" si="12"/>
        <v>892.47557854764841</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0.39039679421512186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9.9542435069821522</v>
      </c>
      <c r="R137" s="1384">
        <f t="shared" si="8"/>
        <v>10.344640301197273</v>
      </c>
      <c r="S137" s="485">
        <f>C137*'4C2 Open-burning '!$C$9*'4C2 Open-burning '!$C$11*$C$5</f>
        <v>1.0103708872016675</v>
      </c>
      <c r="T137" s="485">
        <f>D137*'4C2 Open-burning '!$C$9*'4C2 Open-burning '!$C$11*$C$5</f>
        <v>1.0552366361948915</v>
      </c>
      <c r="U137" s="485">
        <f>E137*'4C2 Open-burning '!$C$9*'4C2 Open-burning '!$C$11*$C$5</f>
        <v>0.28821715987441415</v>
      </c>
      <c r="V137" s="485">
        <f>F137*'4C2 Open-burning '!$C$9*'4C2 Open-burning '!$C$11*$C$5</f>
        <v>0</v>
      </c>
      <c r="W137" s="485">
        <f>G137*'4C2 Open-burning '!$C$9*'4C2 Open-burning '!$C$11*$C$5</f>
        <v>0</v>
      </c>
      <c r="X137" s="485">
        <f>H137*'4C2 Open-burning '!$C$9*'4C2 Open-burning '!$C$11*$C$5</f>
        <v>0</v>
      </c>
      <c r="Y137" s="485">
        <f>I137*'4C2 Open-burning '!$C$9*'4C2 Open-burning '!$C$11*$C$5</f>
        <v>1.1268300730648553</v>
      </c>
      <c r="Z137" s="486">
        <f t="shared" si="9"/>
        <v>3.4806547563358281</v>
      </c>
      <c r="AA137" s="487">
        <f>C137*'4C2 Open-burning '!$C$10*'4C2 Open-burning '!$C$11*$C$5*C$15</f>
        <v>9.3265004972461606E-3</v>
      </c>
      <c r="AB137" s="487">
        <f>D137*'4C2 Open-burning '!$C$10*'4C2 Open-burning '!$C$11*$C$5*D$15</f>
        <v>9.7406458725682321E-3</v>
      </c>
      <c r="AC137" s="487">
        <f>E137*'4C2 Open-burning '!$C$10*'4C2 Open-burning '!$C$11*$C$5*E$15</f>
        <v>5.9860487050839867E-3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2.3403393825193144E-2</v>
      </c>
      <c r="AH137" s="488">
        <f t="shared" si="10"/>
        <v>4.8456588900091524E-2</v>
      </c>
      <c r="AI137" s="1389"/>
      <c r="AJ137" s="1388"/>
      <c r="AK137" s="1389"/>
    </row>
    <row r="138" spans="1:37">
      <c r="A138" s="157">
        <f>'Input data'!A133</f>
        <v>2033</v>
      </c>
      <c r="B138" s="417">
        <f>'Recycling - Case 2'!AP113</f>
        <v>4.6839005041068971E-2</v>
      </c>
      <c r="C138" s="527">
        <f>'Recycling - Case 2'!$AK113*'Recycling - Case 2'!BM113*'4C2 Open-burning '!$B138</f>
        <v>258.30222400703173</v>
      </c>
      <c r="D138" s="528">
        <f>'Recycling - Case 2'!$AK113*'Recycling - Case 2'!BN113*'4C2 Open-burning '!$B138</f>
        <v>269.77219299909945</v>
      </c>
      <c r="E138" s="528">
        <f>'Recycling - Case 2'!$AK113*'Recycling - Case 2'!BO113*'4C2 Open-burning '!$B138</f>
        <v>73.682975564290928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288.07511938194119</v>
      </c>
      <c r="J138" s="744">
        <f t="shared" si="12"/>
        <v>889.83251195236335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0.3892406340349458</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9.9247640129466372</v>
      </c>
      <c r="R138" s="1384">
        <f t="shared" si="8"/>
        <v>10.314004646981584</v>
      </c>
      <c r="S138" s="485">
        <f>C138*'4C2 Open-burning '!$C$9*'4C2 Open-burning '!$C$11*$C$5</f>
        <v>1.0073786736274237</v>
      </c>
      <c r="T138" s="485">
        <f>D138*'4C2 Open-burning '!$C$9*'4C2 Open-burning '!$C$11*$C$5</f>
        <v>1.0521115526964879</v>
      </c>
      <c r="U138" s="485">
        <f>E138*'4C2 Open-burning '!$C$9*'4C2 Open-burning '!$C$11*$C$5</f>
        <v>0.28736360470073463</v>
      </c>
      <c r="V138" s="485">
        <f>F138*'4C2 Open-burning '!$C$9*'4C2 Open-burning '!$C$11*$C$5</f>
        <v>0</v>
      </c>
      <c r="W138" s="485">
        <f>G138*'4C2 Open-burning '!$C$9*'4C2 Open-burning '!$C$11*$C$5</f>
        <v>0</v>
      </c>
      <c r="X138" s="485">
        <f>H138*'4C2 Open-burning '!$C$9*'4C2 Open-burning '!$C$11*$C$5</f>
        <v>0</v>
      </c>
      <c r="Y138" s="485">
        <f>I138*'4C2 Open-burning '!$C$9*'4C2 Open-burning '!$C$11*$C$5</f>
        <v>1.1234929655895707</v>
      </c>
      <c r="Z138" s="486">
        <f t="shared" si="9"/>
        <v>3.4703467966142174</v>
      </c>
      <c r="AA138" s="487">
        <f>C138*'4C2 Open-burning '!$C$10*'4C2 Open-burning '!$C$11*$C$5*C$15</f>
        <v>9.2988800642531417E-3</v>
      </c>
      <c r="AB138" s="487">
        <f>D138*'4C2 Open-burning '!$C$10*'4C2 Open-burning '!$C$11*$C$5*D$15</f>
        <v>9.7117989479675801E-3</v>
      </c>
      <c r="AC138" s="487">
        <f>E138*'4C2 Open-burning '!$C$10*'4C2 Open-burning '!$C$11*$C$5*E$15</f>
        <v>5.9683210207075645E-3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2.3334084669937236E-2</v>
      </c>
      <c r="AH138" s="488">
        <f t="shared" si="10"/>
        <v>4.8313084702865522E-2</v>
      </c>
      <c r="AI138" s="1389"/>
      <c r="AJ138" s="1388"/>
      <c r="AK138" s="1389"/>
    </row>
    <row r="139" spans="1:37">
      <c r="A139" s="157">
        <f>'Input data'!A134</f>
        <v>2034</v>
      </c>
      <c r="B139" s="417">
        <f>'Recycling - Case 2'!AP114</f>
        <v>4.6510529281838998E-2</v>
      </c>
      <c r="C139" s="527">
        <f>'Recycling - Case 2'!$AK114*'Recycling - Case 2'!BM114*'4C2 Open-burning '!$B139</f>
        <v>257.54449434044216</v>
      </c>
      <c r="D139" s="528">
        <f>'Recycling - Case 2'!$AK114*'Recycling - Case 2'!BN114*'4C2 Open-burning '!$B139</f>
        <v>268.98081617436571</v>
      </c>
      <c r="E139" s="528">
        <f>'Recycling - Case 2'!$AK114*'Recycling - Case 2'!BO114*'4C2 Open-burning '!$B139</f>
        <v>73.466826529096636</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287.23005091611145</v>
      </c>
      <c r="J139" s="744">
        <f t="shared" si="12"/>
        <v>887.22218796001584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0.38809879649566703</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9.8956497141618716</v>
      </c>
      <c r="R139" s="1384">
        <f t="shared" si="8"/>
        <v>10.283748510657539</v>
      </c>
      <c r="S139" s="485">
        <f>C139*'4C2 Open-burning '!$C$9*'4C2 Open-burning '!$C$11*$C$5</f>
        <v>1.0044235279277243</v>
      </c>
      <c r="T139" s="485">
        <f>D139*'4C2 Open-burning '!$C$9*'4C2 Open-burning '!$C$11*$C$5</f>
        <v>1.0490251830800261</v>
      </c>
      <c r="U139" s="485">
        <f>E139*'4C2 Open-burning '!$C$9*'4C2 Open-burning '!$C$11*$C$5</f>
        <v>0.28652062346347684</v>
      </c>
      <c r="V139" s="485">
        <f>F139*'4C2 Open-burning '!$C$9*'4C2 Open-burning '!$C$11*$C$5</f>
        <v>0</v>
      </c>
      <c r="W139" s="485">
        <f>G139*'4C2 Open-burning '!$C$9*'4C2 Open-burning '!$C$11*$C$5</f>
        <v>0</v>
      </c>
      <c r="X139" s="485">
        <f>H139*'4C2 Open-burning '!$C$9*'4C2 Open-burning '!$C$11*$C$5</f>
        <v>0</v>
      </c>
      <c r="Y139" s="485">
        <f>I139*'4C2 Open-burning '!$C$9*'4C2 Open-burning '!$C$11*$C$5</f>
        <v>1.1201971985728347</v>
      </c>
      <c r="Z139" s="486">
        <f t="shared" si="9"/>
        <v>3.4601665330440619</v>
      </c>
      <c r="AA139" s="487">
        <f>C139*'4C2 Open-burning '!$C$10*'4C2 Open-burning '!$C$11*$C$5*C$15</f>
        <v>9.2716017962559179E-3</v>
      </c>
      <c r="AB139" s="487">
        <f>D139*'4C2 Open-burning '!$C$10*'4C2 Open-burning '!$C$11*$C$5*D$15</f>
        <v>9.6833093822771658E-3</v>
      </c>
      <c r="AC139" s="487">
        <f>E139*'4C2 Open-burning '!$C$10*'4C2 Open-burning '!$C$11*$C$5*E$15</f>
        <v>5.9508129488568279E-3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2.3265634124205029E-2</v>
      </c>
      <c r="AH139" s="488">
        <f t="shared" si="10"/>
        <v>4.8171358251594937E-2</v>
      </c>
      <c r="AI139" s="1389"/>
      <c r="AJ139" s="1388"/>
      <c r="AK139" s="1389"/>
    </row>
    <row r="140" spans="1:37">
      <c r="A140" s="157">
        <f>'Input data'!A135</f>
        <v>2035</v>
      </c>
      <c r="B140" s="417">
        <f>'Recycling - Case 2'!AP115</f>
        <v>4.6185440130706287E-2</v>
      </c>
      <c r="C140" s="527">
        <f>'Recycling - Case 2'!$AK115*'Recycling - Case 2'!BM115*'4C2 Open-burning '!$B140</f>
        <v>256.7987475206989</v>
      </c>
      <c r="D140" s="528">
        <f>'Recycling - Case 2'!$AK115*'Recycling - Case 2'!BN115*'4C2 Open-burning '!$B140</f>
        <v>268.20195429751726</v>
      </c>
      <c r="E140" s="528">
        <f>'Recycling - Case 2'!$AK115*'Recycling - Case 2'!BO115*'4C2 Open-burning '!$B140</f>
        <v>73.254095706094532</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286.39834648556655</v>
      </c>
      <c r="J140" s="744">
        <f t="shared" si="12"/>
        <v>884.65314400987722</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0.38697501614084323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9.8669958331207379</v>
      </c>
      <c r="R140" s="1384">
        <f t="shared" si="8"/>
        <v>10.253970849261581</v>
      </c>
      <c r="S140" s="485">
        <f>C140*'4C2 Open-burning '!$C$9*'4C2 Open-burning '!$C$11*$C$5</f>
        <v>1.0015151153307256</v>
      </c>
      <c r="T140" s="485">
        <f>D140*'4C2 Open-burning '!$C$9*'4C2 Open-burning '!$C$11*$C$5</f>
        <v>1.0459876217603172</v>
      </c>
      <c r="U140" s="485">
        <f>E140*'4C2 Open-burning '!$C$9*'4C2 Open-burning '!$C$11*$C$5</f>
        <v>0.28569097325376863</v>
      </c>
      <c r="V140" s="485">
        <f>F140*'4C2 Open-burning '!$C$9*'4C2 Open-burning '!$C$11*$C$5</f>
        <v>0</v>
      </c>
      <c r="W140" s="485">
        <f>G140*'4C2 Open-burning '!$C$9*'4C2 Open-burning '!$C$11*$C$5</f>
        <v>0</v>
      </c>
      <c r="X140" s="485">
        <f>H140*'4C2 Open-burning '!$C$9*'4C2 Open-burning '!$C$11*$C$5</f>
        <v>0</v>
      </c>
      <c r="Y140" s="485">
        <f>I140*'4C2 Open-burning '!$C$9*'4C2 Open-burning '!$C$11*$C$5</f>
        <v>1.1169535512937094</v>
      </c>
      <c r="Z140" s="486">
        <f t="shared" si="9"/>
        <v>3.4501472616385209</v>
      </c>
      <c r="AA140" s="487">
        <f>C140*'4C2 Open-burning '!$C$10*'4C2 Open-burning '!$C$11*$C$5*C$15</f>
        <v>9.244754910745159E-3</v>
      </c>
      <c r="AB140" s="487">
        <f>D140*'4C2 Open-burning '!$C$10*'4C2 Open-burning '!$C$11*$C$5*D$15</f>
        <v>9.6552703547106225E-3</v>
      </c>
      <c r="AC140" s="487">
        <f>E140*'4C2 Open-burning '!$C$10*'4C2 Open-burning '!$C$11*$C$5*E$15</f>
        <v>5.9335817521936575E-3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2.3198266065330885E-2</v>
      </c>
      <c r="AH140" s="488">
        <f t="shared" si="10"/>
        <v>4.8031873082980327E-2</v>
      </c>
      <c r="AI140" s="1389"/>
      <c r="AJ140" s="1388"/>
      <c r="AK140" s="1389"/>
    </row>
    <row r="141" spans="1:37">
      <c r="A141" s="157">
        <f>'Input data'!A136</f>
        <v>2036</v>
      </c>
      <c r="B141" s="417">
        <f>'Recycling - Case 2'!AP116</f>
        <v>4.5908380290142464E-2</v>
      </c>
      <c r="C141" s="527">
        <f>'Recycling - Case 2'!$AK116*'Recycling - Case 2'!BM116*'4C2 Open-burning '!$B141</f>
        <v>256.16646446695256</v>
      </c>
      <c r="D141" s="528">
        <f>'Recycling - Case 2'!$AK116*'Recycling - Case 2'!BN116*'4C2 Open-burning '!$B141</f>
        <v>267.54159457099524</v>
      </c>
      <c r="E141" s="528">
        <f>'Recycling - Case 2'!$AK116*'Recycling - Case 2'!BO116*'4C2 Open-burning '!$B141</f>
        <v>73.073731417796196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285.69318408562458</v>
      </c>
      <c r="J141" s="744">
        <f t="shared" si="12"/>
        <v>882.47497454136862</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0.38602221653690688</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9.8427015781179374</v>
      </c>
      <c r="R141" s="1384">
        <f t="shared" si="8"/>
        <v>10.228723794654844</v>
      </c>
      <c r="S141" s="485">
        <f>C141*'4C2 Open-burning '!$C$9*'4C2 Open-burning '!$C$11*$C$5</f>
        <v>0.99904921142111491</v>
      </c>
      <c r="T141" s="485">
        <f>D141*'4C2 Open-burning '!$C$9*'4C2 Open-burning '!$C$11*$C$5</f>
        <v>1.0434122188268813</v>
      </c>
      <c r="U141" s="485">
        <f>E141*'4C2 Open-burning '!$C$9*'4C2 Open-burning '!$C$11*$C$5</f>
        <v>0.28498755252940516</v>
      </c>
      <c r="V141" s="485">
        <f>F141*'4C2 Open-burning '!$C$9*'4C2 Open-burning '!$C$11*$C$5</f>
        <v>0</v>
      </c>
      <c r="W141" s="485">
        <f>G141*'4C2 Open-burning '!$C$9*'4C2 Open-burning '!$C$11*$C$5</f>
        <v>0</v>
      </c>
      <c r="X141" s="485">
        <f>H141*'4C2 Open-burning '!$C$9*'4C2 Open-burning '!$C$11*$C$5</f>
        <v>0</v>
      </c>
      <c r="Y141" s="485">
        <f>I141*'4C2 Open-burning '!$C$9*'4C2 Open-burning '!$C$11*$C$5</f>
        <v>1.1142034179339357</v>
      </c>
      <c r="Z141" s="486">
        <f t="shared" si="9"/>
        <v>3.4416524007113369</v>
      </c>
      <c r="AA141" s="487">
        <f>C141*'4C2 Open-burning '!$C$10*'4C2 Open-burning '!$C$11*$C$5*C$15</f>
        <v>9.22199272081029E-3</v>
      </c>
      <c r="AB141" s="487">
        <f>D141*'4C2 Open-burning '!$C$10*'4C2 Open-burning '!$C$11*$C$5*D$15</f>
        <v>9.6314974045558274E-3</v>
      </c>
      <c r="AC141" s="487">
        <f>E141*'4C2 Open-burning '!$C$10*'4C2 Open-burning '!$C$11*$C$5*E$15</f>
        <v>5.9189722448414915E-3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2.3141147910935592E-2</v>
      </c>
      <c r="AH141" s="488">
        <f t="shared" si="10"/>
        <v>4.7913610281143201E-2</v>
      </c>
      <c r="AI141" s="1389"/>
      <c r="AJ141" s="1388"/>
      <c r="AK141" s="1389"/>
    </row>
    <row r="142" spans="1:37">
      <c r="A142" s="157">
        <f>'Input data'!A137</f>
        <v>2037</v>
      </c>
      <c r="B142" s="417">
        <f>'Recycling - Case 2'!AP117</f>
        <v>4.5633738337389457E-2</v>
      </c>
      <c r="C142" s="527">
        <f>'Recycling - Case 2'!$AK117*'Recycling - Case 2'!BM117*'4C2 Open-burning '!$B142</f>
        <v>255.54269251053699</v>
      </c>
      <c r="D142" s="528">
        <f>'Recycling - Case 2'!$AK117*'Recycling - Case 2'!BN117*'4C2 Open-burning '!$B142</f>
        <v>266.8901238790163</v>
      </c>
      <c r="E142" s="528">
        <f>'Recycling - Case 2'!$AK117*'Recycling - Case 2'!BO117*'4C2 Open-burning '!$B142</f>
        <v>72.895794994681992</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284.997513804417</v>
      </c>
      <c r="J142" s="744">
        <f t="shared" si="12"/>
        <v>880.32612518865221</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0.38508224247070688</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9.8187343455897729</v>
      </c>
      <c r="R142" s="1384">
        <f t="shared" si="8"/>
        <v>10.20381658806048</v>
      </c>
      <c r="S142" s="485">
        <f>C142*'4C2 Open-burning '!$C$9*'4C2 Open-burning '!$C$11*$C$5</f>
        <v>0.9966165007910941</v>
      </c>
      <c r="T142" s="485">
        <f>D142*'4C2 Open-burning '!$C$9*'4C2 Open-burning '!$C$11*$C$5</f>
        <v>1.0408714831281634</v>
      </c>
      <c r="U142" s="485">
        <f>E142*'4C2 Open-burning '!$C$9*'4C2 Open-burning '!$C$11*$C$5</f>
        <v>0.28429360047925978</v>
      </c>
      <c r="V142" s="485">
        <f>F142*'4C2 Open-burning '!$C$9*'4C2 Open-burning '!$C$11*$C$5</f>
        <v>0</v>
      </c>
      <c r="W142" s="485">
        <f>G142*'4C2 Open-burning '!$C$9*'4C2 Open-burning '!$C$11*$C$5</f>
        <v>0</v>
      </c>
      <c r="X142" s="485">
        <f>H142*'4C2 Open-burning '!$C$9*'4C2 Open-burning '!$C$11*$C$5</f>
        <v>0</v>
      </c>
      <c r="Y142" s="485">
        <f>I142*'4C2 Open-burning '!$C$9*'4C2 Open-burning '!$C$11*$C$5</f>
        <v>1.1114903038372261</v>
      </c>
      <c r="Z142" s="486">
        <f t="shared" si="9"/>
        <v>3.433271888235744</v>
      </c>
      <c r="AA142" s="487">
        <f>C142*'4C2 Open-burning '!$C$10*'4C2 Open-burning '!$C$11*$C$5*C$15</f>
        <v>9.1995369303793321E-3</v>
      </c>
      <c r="AB142" s="487">
        <f>D142*'4C2 Open-burning '!$C$10*'4C2 Open-burning '!$C$11*$C$5*D$15</f>
        <v>9.6080444596445876E-3</v>
      </c>
      <c r="AC142" s="487">
        <f>E142*'4C2 Open-burning '!$C$10*'4C2 Open-burning '!$C$11*$C$5*E$15</f>
        <v>5.9045593945692403E-3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2.3084798618157775E-2</v>
      </c>
      <c r="AH142" s="488">
        <f t="shared" si="10"/>
        <v>4.779693940275094E-2</v>
      </c>
      <c r="AI142" s="1389"/>
      <c r="AJ142" s="1388"/>
      <c r="AK142" s="1389"/>
    </row>
    <row r="143" spans="1:37">
      <c r="A143" s="157">
        <f>'Input data'!A138</f>
        <v>2038</v>
      </c>
      <c r="B143" s="417">
        <f>'Recycling - Case 2'!AP118</f>
        <v>4.5360424217666818E-2</v>
      </c>
      <c r="C143" s="527">
        <f>'Recycling - Case 2'!$AK118*'Recycling - Case 2'!BM118*'4C2 Open-burning '!$B143</f>
        <v>254.92490308183193</v>
      </c>
      <c r="D143" s="528">
        <f>'Recycling - Case 2'!$AK118*'Recycling - Case 2'!BN118*'4C2 Open-burning '!$B143</f>
        <v>266.24490137025111</v>
      </c>
      <c r="E143" s="528">
        <f>'Recycling - Case 2'!$AK118*'Recycling - Case 2'!BO118*'4C2 Open-burning '!$B143</f>
        <v>72.719565140083773</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284.30851561978551</v>
      </c>
      <c r="J143" s="744">
        <f t="shared" si="12"/>
        <v>878.19788521195233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0.38415128359161216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9.7949969801328489</v>
      </c>
      <c r="R143" s="1384">
        <f t="shared" si="8"/>
        <v>10.179148263724461</v>
      </c>
      <c r="S143" s="485">
        <f>C143*'4C2 Open-burning '!$C$9*'4C2 Open-burning '!$C$11*$C$5</f>
        <v>0.99420712201914441</v>
      </c>
      <c r="T143" s="485">
        <f>D143*'4C2 Open-burning '!$C$9*'4C2 Open-burning '!$C$11*$C$5</f>
        <v>1.0383551153439794</v>
      </c>
      <c r="U143" s="485">
        <f>E143*'4C2 Open-burning '!$C$9*'4C2 Open-burning '!$C$11*$C$5</f>
        <v>0.2836063040463267</v>
      </c>
      <c r="V143" s="485">
        <f>F143*'4C2 Open-burning '!$C$9*'4C2 Open-burning '!$C$11*$C$5</f>
        <v>0</v>
      </c>
      <c r="W143" s="485">
        <f>G143*'4C2 Open-burning '!$C$9*'4C2 Open-burning '!$C$11*$C$5</f>
        <v>0</v>
      </c>
      <c r="X143" s="485">
        <f>H143*'4C2 Open-burning '!$C$9*'4C2 Open-burning '!$C$11*$C$5</f>
        <v>0</v>
      </c>
      <c r="Y143" s="485">
        <f>I143*'4C2 Open-burning '!$C$9*'4C2 Open-burning '!$C$11*$C$5</f>
        <v>1.1088032109171635</v>
      </c>
      <c r="Z143" s="486">
        <f t="shared" si="9"/>
        <v>3.4249717523266137</v>
      </c>
      <c r="AA143" s="487">
        <f>C143*'4C2 Open-burning '!$C$10*'4C2 Open-burning '!$C$11*$C$5*C$15</f>
        <v>9.1772965109459485E-3</v>
      </c>
      <c r="AB143" s="487">
        <f>D143*'4C2 Open-burning '!$C$10*'4C2 Open-burning '!$C$11*$C$5*D$15</f>
        <v>9.5848164493290405E-3</v>
      </c>
      <c r="AC143" s="487">
        <f>E143*'4C2 Open-burning '!$C$10*'4C2 Open-burning '!$C$11*$C$5*E$15</f>
        <v>5.8902847763467854E-3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2.3028989765202627E-2</v>
      </c>
      <c r="AH143" s="488">
        <f t="shared" si="10"/>
        <v>4.76813875018244E-2</v>
      </c>
      <c r="AI143" s="1389"/>
      <c r="AJ143" s="1388"/>
      <c r="AK143" s="1389"/>
    </row>
    <row r="144" spans="1:37">
      <c r="A144" s="157">
        <f>'Input data'!A139</f>
        <v>2039</v>
      </c>
      <c r="B144" s="417">
        <f>'Recycling - Case 2'!AP119</f>
        <v>4.5089498745665688E-2</v>
      </c>
      <c r="C144" s="527">
        <f>'Recycling - Case 2'!$AK119*'Recycling - Case 2'!BM119*'4C2 Open-burning '!$B144</f>
        <v>254.31544156813482</v>
      </c>
      <c r="D144" s="528">
        <f>'Recycling - Case 2'!$AK119*'Recycling - Case 2'!BN119*'4C2 Open-burning '!$B144</f>
        <v>265.60837657945359</v>
      </c>
      <c r="E144" s="528">
        <f>'Recycling - Case 2'!$AK119*'Recycling - Case 2'!BO119*'4C2 Open-burning '!$B144</f>
        <v>72.545710896304996</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283.62880525727536</v>
      </c>
      <c r="J144" s="744">
        <f t="shared" si="12"/>
        <v>876.09833430116873</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0.38323287420925661</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9.7715795987236493</v>
      </c>
      <c r="R144" s="1384">
        <f t="shared" si="8"/>
        <v>10.154812472932907</v>
      </c>
      <c r="S144" s="485">
        <f>C144*'4C2 Open-burning '!$C$9*'4C2 Open-burning '!$C$11*$C$5</f>
        <v>0.99183022211572569</v>
      </c>
      <c r="T144" s="485">
        <f>D144*'4C2 Open-burning '!$C$9*'4C2 Open-burning '!$C$11*$C$5</f>
        <v>1.0358726686598689</v>
      </c>
      <c r="U144" s="485">
        <f>E144*'4C2 Open-burning '!$C$9*'4C2 Open-burning '!$C$11*$C$5</f>
        <v>0.28292827249558944</v>
      </c>
      <c r="V144" s="485">
        <f>F144*'4C2 Open-burning '!$C$9*'4C2 Open-burning '!$C$11*$C$5</f>
        <v>0</v>
      </c>
      <c r="W144" s="485">
        <f>G144*'4C2 Open-burning '!$C$9*'4C2 Open-burning '!$C$11*$C$5</f>
        <v>0</v>
      </c>
      <c r="X144" s="485">
        <f>H144*'4C2 Open-burning '!$C$9*'4C2 Open-burning '!$C$11*$C$5</f>
        <v>0</v>
      </c>
      <c r="Y144" s="485">
        <f>I144*'4C2 Open-burning '!$C$9*'4C2 Open-burning '!$C$11*$C$5</f>
        <v>1.1061523405033737</v>
      </c>
      <c r="Z144" s="486">
        <f t="shared" si="9"/>
        <v>3.4167835037745578</v>
      </c>
      <c r="AA144" s="487">
        <f>C144*'4C2 Open-burning '!$C$10*'4C2 Open-burning '!$C$11*$C$5*C$15</f>
        <v>9.1553558964528516E-3</v>
      </c>
      <c r="AB144" s="487">
        <f>D144*'4C2 Open-burning '!$C$10*'4C2 Open-burning '!$C$11*$C$5*D$15</f>
        <v>9.5619015568603281E-3</v>
      </c>
      <c r="AC144" s="487">
        <f>E144*'4C2 Open-burning '!$C$10*'4C2 Open-burning '!$C$11*$C$5*E$15</f>
        <v>5.8762025826007043E-3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2.2973933225839304E-2</v>
      </c>
      <c r="AH144" s="488">
        <f t="shared" si="10"/>
        <v>4.7567393261753188E-2</v>
      </c>
      <c r="AI144" s="1389"/>
      <c r="AJ144" s="1388"/>
      <c r="AK144" s="1389"/>
    </row>
    <row r="145" spans="1:39">
      <c r="A145" s="157">
        <f>'Input data'!A140</f>
        <v>2040</v>
      </c>
      <c r="B145" s="417">
        <f>'Recycling - Case 2'!AP120</f>
        <v>4.4820931833859719E-2</v>
      </c>
      <c r="C145" s="527">
        <f>'Recycling - Case 2'!$AK120*'Recycling - Case 2'!BM120*'4C2 Open-burning '!$B145</f>
        <v>253.71417110500099</v>
      </c>
      <c r="D145" s="528">
        <f>'Recycling - Case 2'!$AK120*'Recycling - Case 2'!BN120*'4C2 Open-burning '!$B145</f>
        <v>264.98040656468214</v>
      </c>
      <c r="E145" s="528">
        <f>'Recycling - Case 2'!$AK120*'Recycling - Case 2'!BO120*'4C2 Open-burning '!$B145</f>
        <v>72.374193221562038</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282.95823007692621</v>
      </c>
      <c r="J145" s="744">
        <f t="shared" si="12"/>
        <v>874.02700096817125</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0.38232680807995245</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9.7484769426102602</v>
      </c>
      <c r="R145" s="1384">
        <f t="shared" si="8"/>
        <v>10.130803750690212</v>
      </c>
      <c r="S145" s="485">
        <f>C145*'4C2 Open-burning '!$C$9*'4C2 Open-burning '!$C$11*$C$5</f>
        <v>0.9894852673095037</v>
      </c>
      <c r="T145" s="485">
        <f>D145*'4C2 Open-burning '!$C$9*'4C2 Open-burning '!$C$11*$C$5</f>
        <v>1.0334235856022604</v>
      </c>
      <c r="U145" s="485">
        <f>E145*'4C2 Open-burning '!$C$9*'4C2 Open-burning '!$C$11*$C$5</f>
        <v>0.28225935356409193</v>
      </c>
      <c r="V145" s="485">
        <f>F145*'4C2 Open-burning '!$C$9*'4C2 Open-burning '!$C$11*$C$5</f>
        <v>0</v>
      </c>
      <c r="W145" s="485">
        <f>G145*'4C2 Open-burning '!$C$9*'4C2 Open-burning '!$C$11*$C$5</f>
        <v>0</v>
      </c>
      <c r="X145" s="485">
        <f>H145*'4C2 Open-burning '!$C$9*'4C2 Open-burning '!$C$11*$C$5</f>
        <v>0</v>
      </c>
      <c r="Y145" s="485">
        <f>I145*'4C2 Open-burning '!$C$9*'4C2 Open-burning '!$C$11*$C$5</f>
        <v>1.1035370973000123</v>
      </c>
      <c r="Z145" s="486">
        <f t="shared" si="9"/>
        <v>3.4087053037758683</v>
      </c>
      <c r="AA145" s="487">
        <f>C145*'4C2 Open-burning '!$C$10*'4C2 Open-burning '!$C$11*$C$5*C$15</f>
        <v>9.1337101597800362E-3</v>
      </c>
      <c r="AB145" s="487">
        <f>D145*'4C2 Open-burning '!$C$10*'4C2 Open-burning '!$C$11*$C$5*D$15</f>
        <v>9.5392946363285561E-3</v>
      </c>
      <c r="AC145" s="487">
        <f>E145*'4C2 Open-burning '!$C$10*'4C2 Open-burning '!$C$11*$C$5*E$15</f>
        <v>5.8623096509465246E-3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2.2919616636231023E-2</v>
      </c>
      <c r="AH145" s="488">
        <f t="shared" si="10"/>
        <v>4.7454931083286141E-2</v>
      </c>
      <c r="AI145" s="1389"/>
      <c r="AJ145" s="1388"/>
      <c r="AK145" s="1389"/>
    </row>
    <row r="146" spans="1:39">
      <c r="A146" s="157">
        <f>'Input data'!A141</f>
        <v>2041</v>
      </c>
      <c r="B146" s="417">
        <f>'Recycling - Case 2'!AP121</f>
        <v>4.4593800336556862E-2</v>
      </c>
      <c r="C146" s="527">
        <f>'Recycling - Case 2'!$AK121*'Recycling - Case 2'!BM121*'4C2 Open-burning '!$B146</f>
        <v>253.20791411507489</v>
      </c>
      <c r="D146" s="528">
        <f>'Recycling - Case 2'!$AK121*'Recycling - Case 2'!BN121*'4C2 Open-burning '!$B146</f>
        <v>264.45166911800123</v>
      </c>
      <c r="E146" s="528">
        <f>'Recycling - Case 2'!$AK121*'Recycling - Case 2'!BO121*'4C2 Open-burning '!$B146</f>
        <v>72.229778973634538</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282.39361998356935</v>
      </c>
      <c r="J146" s="744">
        <f t="shared" si="12"/>
        <v>872.28298219027999</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0.38156391959728075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9.7290249956739299</v>
      </c>
      <c r="R146" s="1384">
        <f t="shared" si="8"/>
        <v>10.11058891527121</v>
      </c>
      <c r="S146" s="485">
        <f>C146*'4C2 Open-burning '!$C$9*'4C2 Open-burning '!$C$11*$C$5</f>
        <v>0.98751086504879193</v>
      </c>
      <c r="T146" s="485">
        <f>D146*'4C2 Open-burning '!$C$9*'4C2 Open-burning '!$C$11*$C$5</f>
        <v>1.0313615095602047</v>
      </c>
      <c r="U146" s="485">
        <f>E146*'4C2 Open-burning '!$C$9*'4C2 Open-burning '!$C$11*$C$5</f>
        <v>0.28169613799717469</v>
      </c>
      <c r="V146" s="485">
        <f>F146*'4C2 Open-burning '!$C$9*'4C2 Open-burning '!$C$11*$C$5</f>
        <v>0</v>
      </c>
      <c r="W146" s="485">
        <f>G146*'4C2 Open-burning '!$C$9*'4C2 Open-burning '!$C$11*$C$5</f>
        <v>0</v>
      </c>
      <c r="X146" s="485">
        <f>H146*'4C2 Open-burning '!$C$9*'4C2 Open-burning '!$C$11*$C$5</f>
        <v>0</v>
      </c>
      <c r="Y146" s="485">
        <f>I146*'4C2 Open-burning '!$C$9*'4C2 Open-burning '!$C$11*$C$5</f>
        <v>1.1013351179359203</v>
      </c>
      <c r="Z146" s="486">
        <f t="shared" si="9"/>
        <v>3.4019036305420918</v>
      </c>
      <c r="AA146" s="487">
        <f>C146*'4C2 Open-burning '!$C$10*'4C2 Open-burning '!$C$11*$C$5*C$15</f>
        <v>9.1154849081426948E-3</v>
      </c>
      <c r="AB146" s="487">
        <f>D146*'4C2 Open-burning '!$C$10*'4C2 Open-burning '!$C$11*$C$5*D$15</f>
        <v>9.5202600882480434E-3</v>
      </c>
      <c r="AC146" s="487">
        <f>E146*'4C2 Open-burning '!$C$10*'4C2 Open-burning '!$C$11*$C$5*E$15</f>
        <v>5.8506120968643983E-3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2.2873883218669119E-2</v>
      </c>
      <c r="AH146" s="488">
        <f t="shared" si="10"/>
        <v>4.7360240311924248E-2</v>
      </c>
      <c r="AI146" s="1389"/>
      <c r="AJ146" s="1388"/>
      <c r="AK146" s="1389"/>
    </row>
    <row r="147" spans="1:39">
      <c r="A147" s="157">
        <f>'Input data'!A142</f>
        <v>2042</v>
      </c>
      <c r="B147" s="417">
        <f>'Recycling - Case 2'!AP122</f>
        <v>4.4368434357896787E-2</v>
      </c>
      <c r="C147" s="527">
        <f>'Recycling - Case 2'!$AK122*'Recycling - Case 2'!BM122*'4C2 Open-burning '!$B147</f>
        <v>252.70763235510589</v>
      </c>
      <c r="D147" s="528">
        <f>'Recycling - Case 2'!$AK122*'Recycling - Case 2'!BN122*'4C2 Open-burning '!$B147</f>
        <v>263.92917223272229</v>
      </c>
      <c r="E147" s="528">
        <f>'Recycling - Case 2'!$AK122*'Recycling - Case 2'!BO122*'4C2 Open-burning '!$B147</f>
        <v>72.087069212474873</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281.83567384786841</v>
      </c>
      <c r="J147" s="744">
        <f t="shared" si="12"/>
        <v>870.55954764817147</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0.38081003530458823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9.7098026354067617</v>
      </c>
      <c r="R147" s="1384">
        <f t="shared" si="8"/>
        <v>10.09061267071135</v>
      </c>
      <c r="S147" s="485">
        <f>C147*'4C2 Open-burning '!$C$9*'4C2 Open-burning '!$C$11*$C$5</f>
        <v>0.98555976618491281</v>
      </c>
      <c r="T147" s="485">
        <f>D147*'4C2 Open-burning '!$C$9*'4C2 Open-burning '!$C$11*$C$5</f>
        <v>1.0293237717076169</v>
      </c>
      <c r="U147" s="485">
        <f>E147*'4C2 Open-burning '!$C$9*'4C2 Open-burning '!$C$11*$C$5</f>
        <v>0.28113956992865197</v>
      </c>
      <c r="V147" s="485">
        <f>F147*'4C2 Open-burning '!$C$9*'4C2 Open-burning '!$C$11*$C$5</f>
        <v>0</v>
      </c>
      <c r="W147" s="485">
        <f>G147*'4C2 Open-burning '!$C$9*'4C2 Open-burning '!$C$11*$C$5</f>
        <v>0</v>
      </c>
      <c r="X147" s="485">
        <f>H147*'4C2 Open-burning '!$C$9*'4C2 Open-burning '!$C$11*$C$5</f>
        <v>0</v>
      </c>
      <c r="Y147" s="485">
        <f>I147*'4C2 Open-burning '!$C$9*'4C2 Open-burning '!$C$11*$C$5</f>
        <v>1.0991591280066866</v>
      </c>
      <c r="Z147" s="486">
        <f t="shared" si="9"/>
        <v>3.3951822358278685</v>
      </c>
      <c r="AA147" s="487">
        <f>C147*'4C2 Open-burning '!$C$10*'4C2 Open-burning '!$C$11*$C$5*C$15</f>
        <v>9.0974747647838122E-3</v>
      </c>
      <c r="AB147" s="487">
        <f>D147*'4C2 Open-burning '!$C$10*'4C2 Open-burning '!$C$11*$C$5*D$15</f>
        <v>9.5014502003780022E-3</v>
      </c>
      <c r="AC147" s="487">
        <f>E147*'4C2 Open-burning '!$C$10*'4C2 Open-burning '!$C$11*$C$5*E$15</f>
        <v>5.8390526062104655E-3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2.2828689581677341E-2</v>
      </c>
      <c r="AH147" s="488">
        <f t="shared" si="10"/>
        <v>4.726666715304962E-2</v>
      </c>
      <c r="AI147" s="1389"/>
      <c r="AJ147" s="1388"/>
      <c r="AK147" s="1389"/>
    </row>
    <row r="148" spans="1:39">
      <c r="A148" s="157">
        <f>'Input data'!A143</f>
        <v>2043</v>
      </c>
      <c r="B148" s="417">
        <f>'Recycling - Case 2'!AP123</f>
        <v>4.4144316683521728E-2</v>
      </c>
      <c r="C148" s="527">
        <f>'Recycling - Case 2'!$AK123*'Recycling - Case 2'!BM123*'4C2 Open-burning '!$B148</f>
        <v>252.21214088531016</v>
      </c>
      <c r="D148" s="528">
        <f>'Recycling - Case 2'!$AK123*'Recycling - Case 2'!BN123*'4C2 Open-burning '!$B148</f>
        <v>263.41167835154113</v>
      </c>
      <c r="E148" s="528">
        <f>'Recycling - Case 2'!$AK123*'Recycling - Case 2'!BO123*'4C2 Open-burning '!$B148</f>
        <v>71.945725923613836</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281.28307014937968</v>
      </c>
      <c r="J148" s="744">
        <f t="shared" si="12"/>
        <v>868.85261530984485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0.38006336959311937</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9.6907643327864275</v>
      </c>
      <c r="R148" s="1384">
        <f t="shared" si="8"/>
        <v>10.070827702379546</v>
      </c>
      <c r="S148" s="485">
        <f>C148*'4C2 Open-burning '!$C$9*'4C2 Open-burning '!$C$11*$C$5</f>
        <v>0.98362734945270958</v>
      </c>
      <c r="T148" s="485">
        <f>D148*'4C2 Open-burning '!$C$9*'4C2 Open-burning '!$C$11*$C$5</f>
        <v>1.0273055455710103</v>
      </c>
      <c r="U148" s="485">
        <f>E148*'4C2 Open-burning '!$C$9*'4C2 Open-burning '!$C$11*$C$5</f>
        <v>0.28058833110209391</v>
      </c>
      <c r="V148" s="485">
        <f>F148*'4C2 Open-burning '!$C$9*'4C2 Open-burning '!$C$11*$C$5</f>
        <v>0</v>
      </c>
      <c r="W148" s="485">
        <f>G148*'4C2 Open-burning '!$C$9*'4C2 Open-burning '!$C$11*$C$5</f>
        <v>0</v>
      </c>
      <c r="X148" s="485">
        <f>H148*'4C2 Open-burning '!$C$9*'4C2 Open-burning '!$C$11*$C$5</f>
        <v>0</v>
      </c>
      <c r="Y148" s="485">
        <f>I148*'4C2 Open-burning '!$C$9*'4C2 Open-burning '!$C$11*$C$5</f>
        <v>1.0970039735825807</v>
      </c>
      <c r="Z148" s="486">
        <f t="shared" si="9"/>
        <v>3.3885251997083947</v>
      </c>
      <c r="AA148" s="487">
        <f>C148*'4C2 Open-burning '!$C$10*'4C2 Open-burning '!$C$11*$C$5*C$15</f>
        <v>9.0796370718711668E-3</v>
      </c>
      <c r="AB148" s="487">
        <f>D148*'4C2 Open-burning '!$C$10*'4C2 Open-burning '!$C$11*$C$5*D$15</f>
        <v>9.4828204206554804E-3</v>
      </c>
      <c r="AC148" s="487">
        <f>E148*'4C2 Open-burning '!$C$10*'4C2 Open-burning '!$C$11*$C$5*E$15</f>
        <v>5.8276037998127202E-3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2.2783928682099754E-2</v>
      </c>
      <c r="AH148" s="488">
        <f t="shared" si="10"/>
        <v>4.7173989974439126E-2</v>
      </c>
      <c r="AI148" s="1389"/>
      <c r="AJ148" s="1388"/>
      <c r="AK148" s="1389"/>
    </row>
    <row r="149" spans="1:39">
      <c r="A149" s="157">
        <f>'Input data'!A144</f>
        <v>2044</v>
      </c>
      <c r="B149" s="417">
        <f>'Recycling - Case 2'!AP124</f>
        <v>4.3921934688623487E-2</v>
      </c>
      <c r="C149" s="527">
        <f>'Recycling - Case 2'!$AK124*'Recycling - Case 2'!BM124*'4C2 Open-burning '!$B149</f>
        <v>251.72248085214491</v>
      </c>
      <c r="D149" s="528">
        <f>'Recycling - Case 2'!$AK124*'Recycling - Case 2'!BN124*'4C2 Open-burning '!$B149</f>
        <v>262.90027485325993</v>
      </c>
      <c r="E149" s="528">
        <f>'Recycling - Case 2'!$AK124*'Recycling - Case 2'!BO124*'4C2 Open-burning '!$B149</f>
        <v>71.806046103212665</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280.73697004105543</v>
      </c>
      <c r="J149" s="744">
        <f t="shared" si="12"/>
        <v>867.16577184967298</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0.37932549138667537</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9.6719500918544412</v>
      </c>
      <c r="R149" s="1384">
        <f t="shared" si="8"/>
        <v>10.051275583241116</v>
      </c>
      <c r="S149" s="485">
        <f>C149*'4C2 Open-burning '!$C$9*'4C2 Open-burning '!$C$11*$C$5</f>
        <v>0.98171767532336507</v>
      </c>
      <c r="T149" s="485">
        <f>D149*'4C2 Open-burning '!$C$9*'4C2 Open-burning '!$C$11*$C$5</f>
        <v>1.0253110719277136</v>
      </c>
      <c r="U149" s="485">
        <f>E149*'4C2 Open-burning '!$C$9*'4C2 Open-burning '!$C$11*$C$5</f>
        <v>0.28004357980252942</v>
      </c>
      <c r="V149" s="485">
        <f>F149*'4C2 Open-burning '!$C$9*'4C2 Open-burning '!$C$11*$C$5</f>
        <v>0</v>
      </c>
      <c r="W149" s="485">
        <f>G149*'4C2 Open-burning '!$C$9*'4C2 Open-burning '!$C$11*$C$5</f>
        <v>0</v>
      </c>
      <c r="X149" s="485">
        <f>H149*'4C2 Open-burning '!$C$9*'4C2 Open-burning '!$C$11*$C$5</f>
        <v>0</v>
      </c>
      <c r="Y149" s="485">
        <f>I149*'4C2 Open-burning '!$C$9*'4C2 Open-burning '!$C$11*$C$5</f>
        <v>1.0948741831601161</v>
      </c>
      <c r="Z149" s="486">
        <f t="shared" si="9"/>
        <v>3.3819465102137247</v>
      </c>
      <c r="AA149" s="487">
        <f>C149*'4C2 Open-burning '!$C$10*'4C2 Open-burning '!$C$11*$C$5*C$15</f>
        <v>9.0620093106772142E-3</v>
      </c>
      <c r="AB149" s="487">
        <f>D149*'4C2 Open-burning '!$C$10*'4C2 Open-burning '!$C$11*$C$5*D$15</f>
        <v>9.4644098947173558E-3</v>
      </c>
      <c r="AC149" s="487">
        <f>E149*'4C2 Open-burning '!$C$10*'4C2 Open-burning '!$C$11*$C$5*E$15</f>
        <v>5.8162897343602251E-3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2.2739694573325486E-2</v>
      </c>
      <c r="AH149" s="488">
        <f t="shared" si="10"/>
        <v>4.7082403513080281E-2</v>
      </c>
      <c r="AI149" s="1389"/>
      <c r="AJ149" s="1388"/>
      <c r="AK149" s="1389"/>
    </row>
    <row r="150" spans="1:39">
      <c r="A150" s="157">
        <f>'Input data'!A145</f>
        <v>2045</v>
      </c>
      <c r="B150" s="417">
        <f>'Recycling - Case 2'!AP125</f>
        <v>4.3700299357032943E-2</v>
      </c>
      <c r="C150" s="527">
        <f>'Recycling - Case 2'!$AK125*'Recycling - Case 2'!BM125*'4C2 Open-burning '!$B150</f>
        <v>251.23644491049265</v>
      </c>
      <c r="D150" s="528">
        <f>'Recycling - Case 2'!$AK125*'Recycling - Case 2'!BN125*'4C2 Open-burning '!$B150</f>
        <v>262.39265637509948</v>
      </c>
      <c r="E150" s="528">
        <f>'Recycling - Case 2'!$AK125*'Recycling - Case 2'!BO125*'4C2 Open-burning '!$B150</f>
        <v>71.66740008671087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280.19491175079628</v>
      </c>
      <c r="J150" s="744">
        <f t="shared" si="12"/>
        <v>865.49141312309939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0.37859307439406231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9.6532750996384333</v>
      </c>
      <c r="R150" s="1384">
        <f t="shared" si="8"/>
        <v>10.031868174032496</v>
      </c>
      <c r="S150" s="485">
        <f>C150*'4C2 Open-burning '!$C$9*'4C2 Open-burning '!$C$11*$C$5</f>
        <v>0.9798221351509212</v>
      </c>
      <c r="T150" s="485">
        <f>D150*'4C2 Open-burning '!$C$9*'4C2 Open-burning '!$C$11*$C$5</f>
        <v>1.0233313598628879</v>
      </c>
      <c r="U150" s="485">
        <f>E150*'4C2 Open-burning '!$C$9*'4C2 Open-burning '!$C$11*$C$5</f>
        <v>0.2795028603381724</v>
      </c>
      <c r="V150" s="485">
        <f>F150*'4C2 Open-burning '!$C$9*'4C2 Open-burning '!$C$11*$C$5</f>
        <v>0</v>
      </c>
      <c r="W150" s="485">
        <f>G150*'4C2 Open-burning '!$C$9*'4C2 Open-burning '!$C$11*$C$5</f>
        <v>0</v>
      </c>
      <c r="X150" s="485">
        <f>H150*'4C2 Open-burning '!$C$9*'4C2 Open-burning '!$C$11*$C$5</f>
        <v>0</v>
      </c>
      <c r="Y150" s="485">
        <f>I150*'4C2 Open-burning '!$C$9*'4C2 Open-burning '!$C$11*$C$5</f>
        <v>1.0927601558281055</v>
      </c>
      <c r="Z150" s="486">
        <f t="shared" si="9"/>
        <v>3.3754165111800871</v>
      </c>
      <c r="AA150" s="487">
        <f>C150*'4C2 Open-burning '!$C$10*'4C2 Open-burning '!$C$11*$C$5*C$15</f>
        <v>9.0445120167777348E-3</v>
      </c>
      <c r="AB150" s="487">
        <f>D150*'4C2 Open-burning '!$C$10*'4C2 Open-burning '!$C$11*$C$5*D$15</f>
        <v>9.4461356295035808E-3</v>
      </c>
      <c r="AC150" s="487">
        <f>E150*'4C2 Open-burning '!$C$10*'4C2 Open-burning '!$C$11*$C$5*E$15</f>
        <v>5.8050594070235793E-3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2.2695787851814496E-2</v>
      </c>
      <c r="AH150" s="488">
        <f t="shared" si="10"/>
        <v>4.6991494905119391E-2</v>
      </c>
      <c r="AI150" s="1389"/>
      <c r="AJ150" s="1388"/>
      <c r="AK150" s="1389"/>
    </row>
    <row r="151" spans="1:39">
      <c r="A151" s="157">
        <f>'Input data'!A146</f>
        <v>2046</v>
      </c>
      <c r="B151" s="417">
        <f>'Recycling - Case 2'!AP126</f>
        <v>4.3519645881138408E-2</v>
      </c>
      <c r="C151" s="527">
        <f>'Recycling - Case 2'!$AK126*'Recycling - Case 2'!BM126*'4C2 Open-burning '!$B151</f>
        <v>250.84174496234101</v>
      </c>
      <c r="D151" s="528">
        <f>'Recycling - Case 2'!$AK126*'Recycling - Case 2'!BN126*'4C2 Open-burning '!$B151</f>
        <v>261.98042968599981</v>
      </c>
      <c r="E151" s="528">
        <f>'Recycling - Case 2'!$AK126*'Recycling - Case 2'!BO126*'4C2 Open-burning '!$B151</f>
        <v>71.554808463674391</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279.75471718754414</v>
      </c>
      <c r="J151" s="744">
        <f t="shared" si="12"/>
        <v>864.13170029955927</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0.37799829338254487</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9.6381095165452706</v>
      </c>
      <c r="R151" s="1384">
        <f t="shared" si="8"/>
        <v>10.016107809927815</v>
      </c>
      <c r="S151" s="485">
        <f>C151*'4C2 Open-burning '!$C$9*'4C2 Open-burning '!$C$11*$C$5</f>
        <v>0.97828280535312984</v>
      </c>
      <c r="T151" s="485">
        <f>D151*'4C2 Open-burning '!$C$9*'4C2 Open-burning '!$C$11*$C$5</f>
        <v>1.0217236757753994</v>
      </c>
      <c r="U151" s="485">
        <f>E151*'4C2 Open-burning '!$C$9*'4C2 Open-burning '!$C$11*$C$5</f>
        <v>0.27906375300833008</v>
      </c>
      <c r="V151" s="485">
        <f>F151*'4C2 Open-burning '!$C$9*'4C2 Open-burning '!$C$11*$C$5</f>
        <v>0</v>
      </c>
      <c r="W151" s="485">
        <f>G151*'4C2 Open-burning '!$C$9*'4C2 Open-burning '!$C$11*$C$5</f>
        <v>0</v>
      </c>
      <c r="X151" s="485">
        <f>H151*'4C2 Open-burning '!$C$9*'4C2 Open-burning '!$C$11*$C$5</f>
        <v>0</v>
      </c>
      <c r="Y151" s="485">
        <f>I151*'4C2 Open-burning '!$C$9*'4C2 Open-burning '!$C$11*$C$5</f>
        <v>1.0910433970314222</v>
      </c>
      <c r="Z151" s="486">
        <f t="shared" si="9"/>
        <v>3.3701136311682811</v>
      </c>
      <c r="AA151" s="487">
        <f>C151*'4C2 Open-burning '!$C$10*'4C2 Open-burning '!$C$11*$C$5*C$15</f>
        <v>9.0303028186442744E-3</v>
      </c>
      <c r="AB151" s="487">
        <f>D151*'4C2 Open-burning '!$C$10*'4C2 Open-burning '!$C$11*$C$5*D$15</f>
        <v>9.4312954686959927E-3</v>
      </c>
      <c r="AC151" s="487">
        <f>E151*'4C2 Open-burning '!$C$10*'4C2 Open-burning '!$C$11*$C$5*E$15</f>
        <v>5.7959394855576253E-3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2.2660132092191077E-2</v>
      </c>
      <c r="AH151" s="488">
        <f t="shared" si="10"/>
        <v>4.6917669865088968E-2</v>
      </c>
      <c r="AI151" s="1389"/>
      <c r="AJ151" s="1388"/>
      <c r="AK151" s="1389"/>
    </row>
    <row r="152" spans="1:39">
      <c r="A152" s="157">
        <f>'Input data'!A147</f>
        <v>2047</v>
      </c>
      <c r="B152" s="417">
        <f>'Recycling - Case 2'!AP127</f>
        <v>4.3339354518621344E-2</v>
      </c>
      <c r="C152" s="527">
        <f>'Recycling - Case 2'!$AK127*'Recycling - Case 2'!BM127*'4C2 Open-burning '!$B152</f>
        <v>250.44914971600065</v>
      </c>
      <c r="D152" s="528">
        <f>'Recycling - Case 2'!$AK127*'Recycling - Case 2'!BN127*'4C2 Open-burning '!$B152</f>
        <v>261.57040115847394</v>
      </c>
      <c r="E152" s="528">
        <f>'Recycling - Case 2'!$AK127*'Recycling - Case 2'!BO127*'4C2 Open-burning '!$B152</f>
        <v>71.442817225294789</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279.31686992202771</v>
      </c>
      <c r="J152" s="744">
        <f t="shared" si="12"/>
        <v>862.77923802179703</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0.37740668398703126</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9.6230248025536973</v>
      </c>
      <c r="R152" s="1384">
        <f t="shared" si="8"/>
        <v>10.000431486540728</v>
      </c>
      <c r="S152" s="485">
        <f>C152*'4C2 Open-burning '!$C$9*'4C2 Open-burning '!$C$11*$C$5</f>
        <v>0.97675168389240241</v>
      </c>
      <c r="T152" s="485">
        <f>D152*'4C2 Open-burning '!$C$9*'4C2 Open-burning '!$C$11*$C$5</f>
        <v>1.0201245645180483</v>
      </c>
      <c r="U152" s="485">
        <f>E152*'4C2 Open-burning '!$C$9*'4C2 Open-burning '!$C$11*$C$5</f>
        <v>0.27862698717864964</v>
      </c>
      <c r="V152" s="485">
        <f>F152*'4C2 Open-burning '!$C$9*'4C2 Open-burning '!$C$11*$C$5</f>
        <v>0</v>
      </c>
      <c r="W152" s="485">
        <f>G152*'4C2 Open-burning '!$C$9*'4C2 Open-burning '!$C$11*$C$5</f>
        <v>0</v>
      </c>
      <c r="X152" s="485">
        <f>H152*'4C2 Open-burning '!$C$9*'4C2 Open-burning '!$C$11*$C$5</f>
        <v>0</v>
      </c>
      <c r="Y152" s="485">
        <f>I152*'4C2 Open-burning '!$C$9*'4C2 Open-burning '!$C$11*$C$5</f>
        <v>1.089335792695908</v>
      </c>
      <c r="Z152" s="486">
        <f t="shared" si="9"/>
        <v>3.364839028285008</v>
      </c>
      <c r="AA152" s="487">
        <f>C152*'4C2 Open-burning '!$C$10*'4C2 Open-burning '!$C$11*$C$5*C$15</f>
        <v>9.0161693897760214E-3</v>
      </c>
      <c r="AB152" s="487">
        <f>D152*'4C2 Open-burning '!$C$10*'4C2 Open-burning '!$C$11*$C$5*D$15</f>
        <v>9.4165344417050621E-3</v>
      </c>
      <c r="AC152" s="487">
        <f>E152*'4C2 Open-burning '!$C$10*'4C2 Open-burning '!$C$11*$C$5*E$15</f>
        <v>5.7868681952488775E-3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2.2624666463684238E-2</v>
      </c>
      <c r="AH152" s="488">
        <f t="shared" si="10"/>
        <v>4.6844238490414199E-2</v>
      </c>
      <c r="AI152" s="1389"/>
      <c r="AJ152" s="1388"/>
      <c r="AK152" s="1389"/>
    </row>
    <row r="153" spans="1:39">
      <c r="A153" s="157">
        <f>'Input data'!A148</f>
        <v>2048</v>
      </c>
      <c r="B153" s="417">
        <f>'Recycling - Case 2'!AP128</f>
        <v>4.3159907195670595E-2</v>
      </c>
      <c r="C153" s="527">
        <f>'Recycling - Case 2'!$AK128*'Recycling - Case 2'!BM128*'4C2 Open-burning '!$B153</f>
        <v>250.05969724000448</v>
      </c>
      <c r="D153" s="528">
        <f>'Recycling - Case 2'!$AK128*'Recycling - Case 2'!BN128*'4C2 Open-burning '!$B153</f>
        <v>261.16365495672403</v>
      </c>
      <c r="E153" s="528">
        <f>'Recycling - Case 2'!$AK128*'Recycling - Case 2'!BO128*'4C2 Open-burning '!$B153</f>
        <v>71.331722489728364</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278.88252767450172</v>
      </c>
      <c r="J153" s="744">
        <f t="shared" si="12"/>
        <v>861.43760236095864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0.37681981049313862</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9.6080608434419315</v>
      </c>
      <c r="R153" s="1384">
        <f t="shared" ref="R153:R155" si="13">SUM(K153:Q153)</f>
        <v>9.9848806539350701</v>
      </c>
      <c r="S153" s="485">
        <f>C153*'4C2 Open-burning '!$C$9*'4C2 Open-burning '!$C$11*$C$5</f>
        <v>0.97523281923601746</v>
      </c>
      <c r="T153" s="485">
        <f>D153*'4C2 Open-burning '!$C$9*'4C2 Open-burning '!$C$11*$C$5</f>
        <v>1.0185382543312236</v>
      </c>
      <c r="U153" s="485">
        <f>E153*'4C2 Open-burning '!$C$9*'4C2 Open-burning '!$C$11*$C$5</f>
        <v>0.27819371770994061</v>
      </c>
      <c r="V153" s="485">
        <f>F153*'4C2 Open-burning '!$C$9*'4C2 Open-burning '!$C$11*$C$5</f>
        <v>0</v>
      </c>
      <c r="W153" s="485">
        <f>G153*'4C2 Open-burning '!$C$9*'4C2 Open-burning '!$C$11*$C$5</f>
        <v>0</v>
      </c>
      <c r="X153" s="485">
        <f>H153*'4C2 Open-burning '!$C$9*'4C2 Open-burning '!$C$11*$C$5</f>
        <v>0</v>
      </c>
      <c r="Y153" s="485">
        <f>I153*'4C2 Open-burning '!$C$9*'4C2 Open-burning '!$C$11*$C$5</f>
        <v>1.0876418579305567</v>
      </c>
      <c r="Z153" s="486">
        <f t="shared" ref="Z153:Z155" si="14">SUM(S153:Y153)</f>
        <v>3.3596066492077385</v>
      </c>
      <c r="AA153" s="487">
        <f>C153*'4C2 Open-burning '!$C$10*'4C2 Open-burning '!$C$11*$C$5*C$15</f>
        <v>9.0021491006401604E-3</v>
      </c>
      <c r="AB153" s="487">
        <f>D153*'4C2 Open-burning '!$C$10*'4C2 Open-burning '!$C$11*$C$5*D$15</f>
        <v>9.4018915784420641E-3</v>
      </c>
      <c r="AC153" s="487">
        <f>E153*'4C2 Open-burning '!$C$10*'4C2 Open-burning '!$C$11*$C$5*E$15</f>
        <v>5.7778695216679976E-3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2.2589484741634639E-2</v>
      </c>
      <c r="AH153" s="488">
        <f t="shared" ref="AH153:AH155" si="15">SUM(AA153:AG153)</f>
        <v>4.6771394942384859E-2</v>
      </c>
      <c r="AI153" s="1389"/>
      <c r="AJ153" s="1388"/>
      <c r="AK153" s="1389"/>
    </row>
    <row r="154" spans="1:39">
      <c r="A154" s="157">
        <f>'Input data'!A149</f>
        <v>2049</v>
      </c>
      <c r="B154" s="417">
        <f>'Recycling - Case 2'!AP129</f>
        <v>4.2981766855635914E-2</v>
      </c>
      <c r="C154" s="527">
        <f>'Recycling - Case 2'!$AK129*'Recycling - Case 2'!BM129*'4C2 Open-burning '!$B154</f>
        <v>249.6743705959779</v>
      </c>
      <c r="D154" s="528">
        <f>'Recycling - Case 2'!$AK129*'Recycling - Case 2'!BN129*'4C2 Open-burning '!$B154</f>
        <v>260.76121779545048</v>
      </c>
      <c r="E154" s="528">
        <f>'Recycling - Case 2'!$AK129*'Recycling - Case 2'!BO129*'4C2 Open-burning '!$B154</f>
        <v>71.221804683928482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278.45278681800806</v>
      </c>
      <c r="J154" s="744">
        <f t="shared" si="12"/>
        <v>860.11017989336483</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0.37623915429550797</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9.5932554114540132</v>
      </c>
      <c r="R154" s="1384">
        <f t="shared" si="13"/>
        <v>9.9694945657495211</v>
      </c>
      <c r="S154" s="485">
        <f>C154*'4C2 Open-burning '!$C$9*'4C2 Open-burning '!$C$11*$C$5</f>
        <v>0.97373004532431362</v>
      </c>
      <c r="T154" s="485">
        <f>D154*'4C2 Open-burning '!$C$9*'4C2 Open-burning '!$C$11*$C$5</f>
        <v>1.0169687494022568</v>
      </c>
      <c r="U154" s="485">
        <f>E154*'4C2 Open-burning '!$C$9*'4C2 Open-burning '!$C$11*$C$5</f>
        <v>0.27776503826732107</v>
      </c>
      <c r="V154" s="485">
        <f>F154*'4C2 Open-burning '!$C$9*'4C2 Open-burning '!$C$11*$C$5</f>
        <v>0</v>
      </c>
      <c r="W154" s="485">
        <f>G154*'4C2 Open-burning '!$C$9*'4C2 Open-burning '!$C$11*$C$5</f>
        <v>0</v>
      </c>
      <c r="X154" s="485">
        <f>H154*'4C2 Open-burning '!$C$9*'4C2 Open-burning '!$C$11*$C$5</f>
        <v>0</v>
      </c>
      <c r="Y154" s="485">
        <f>I154*'4C2 Open-burning '!$C$9*'4C2 Open-burning '!$C$11*$C$5</f>
        <v>1.0859658685902314</v>
      </c>
      <c r="Z154" s="486">
        <f t="shared" si="14"/>
        <v>3.3544297015841229</v>
      </c>
      <c r="AA154" s="487">
        <f>C154*'4C2 Open-burning '!$C$10*'4C2 Open-burning '!$C$11*$C$5*C$15</f>
        <v>8.9882773414552055E-3</v>
      </c>
      <c r="AB154" s="487">
        <f>D154*'4C2 Open-burning '!$C$10*'4C2 Open-burning '!$C$11*$C$5*D$15</f>
        <v>9.3874038406362159E-3</v>
      </c>
      <c r="AC154" s="487">
        <f>E154*'4C2 Open-burning '!$C$10*'4C2 Open-burning '!$C$11*$C$5*E$15</f>
        <v>5.7689661793982067E-3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2.2554675732258653E-2</v>
      </c>
      <c r="AH154" s="488">
        <f t="shared" si="15"/>
        <v>4.6699323093748281E-2</v>
      </c>
      <c r="AI154" s="1389"/>
      <c r="AJ154" s="1388"/>
      <c r="AK154" s="1389"/>
    </row>
    <row r="155" spans="1:39" ht="15" thickBot="1">
      <c r="A155" s="157">
        <f>'Input data'!A150</f>
        <v>2050</v>
      </c>
      <c r="B155" s="417">
        <f>'Recycling - Case 2'!AP130</f>
        <v>4.2803996056239621E-2</v>
      </c>
      <c r="C155" s="670">
        <f>'Recycling - Case 2'!$AK130*'Recycling - Case 2'!BM130*'4C2 Open-burning '!$B155</f>
        <v>249.2911255470631</v>
      </c>
      <c r="D155" s="667">
        <f>'Recycling - Case 2'!$AK130*'Recycling - Case 2'!BN130*'4C2 Open-burning '!$B155</f>
        <v>260.36095466299298</v>
      </c>
      <c r="E155" s="667">
        <f>'Recycling - Case 2'!$AK130*'Recycling - Case 2'!BO130*'4C2 Open-burning '!$B155</f>
        <v>71.112480671396739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278.0253674891847</v>
      </c>
      <c r="J155" s="936">
        <f t="shared" si="12"/>
        <v>858.78992837063743</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0.37566163489394727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9.5785299607373897</v>
      </c>
      <c r="R155" s="1386">
        <f t="shared" si="13"/>
        <v>9.9541915956313378</v>
      </c>
      <c r="S155" s="485">
        <f>C155*'4C2 Open-burning '!$C$9*'4C2 Open-burning '!$C$11*$C$5</f>
        <v>0.97223538963354605</v>
      </c>
      <c r="T155" s="485">
        <f>D155*'4C2 Open-burning '!$C$9*'4C2 Open-burning '!$C$11*$C$5</f>
        <v>1.0154077231856724</v>
      </c>
      <c r="U155" s="485">
        <f>E155*'4C2 Open-burning '!$C$9*'4C2 Open-burning '!$C$11*$C$5</f>
        <v>0.27733867461844725</v>
      </c>
      <c r="V155" s="485">
        <f>F155*'4C2 Open-burning '!$C$9*'4C2 Open-burning '!$C$11*$C$5</f>
        <v>0</v>
      </c>
      <c r="W155" s="485">
        <f>G155*'4C2 Open-burning '!$C$9*'4C2 Open-burning '!$C$11*$C$5</f>
        <v>0</v>
      </c>
      <c r="X155" s="485">
        <f>H155*'4C2 Open-burning '!$C$9*'4C2 Open-burning '!$C$11*$C$5</f>
        <v>0</v>
      </c>
      <c r="Y155" s="485">
        <f>I155*'4C2 Open-burning '!$C$9*'4C2 Open-burning '!$C$11*$C$5</f>
        <v>1.0842989332078203</v>
      </c>
      <c r="Z155" s="486">
        <f t="shared" si="14"/>
        <v>3.3492807206454862</v>
      </c>
      <c r="AA155" s="487">
        <f>C155*'4C2 Open-burning '!$C$10*'4C2 Open-burning '!$C$11*$C$5*C$15</f>
        <v>8.9744805196942719E-3</v>
      </c>
      <c r="AB155" s="487">
        <f>D155*'4C2 Open-burning '!$C$10*'4C2 Open-burning '!$C$11*$C$5*D$15</f>
        <v>9.3729943678677458E-3</v>
      </c>
      <c r="AC155" s="487">
        <f>E155*'4C2 Open-burning '!$C$10*'4C2 Open-burning '!$C$11*$C$5*E$15</f>
        <v>5.7601109343831348E-3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2.2520054766623963E-2</v>
      </c>
      <c r="AH155" s="488">
        <f t="shared" si="15"/>
        <v>4.6627640588569122E-2</v>
      </c>
      <c r="AI155" s="1389"/>
      <c r="AJ155" s="1388"/>
      <c r="AK155" s="1389"/>
    </row>
    <row r="156" spans="1:39" ht="21.6"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0.11929752604841232</v>
      </c>
      <c r="C157" s="956">
        <f>$B157*'Recycling - Case 3'!$AK98*'Recycling - Case 3'!BM98</f>
        <v>824.36987842601138</v>
      </c>
      <c r="D157" s="957">
        <f>$B157*'Recycling - Case 3'!$AK98*'Recycling - Case 3'!BN98</f>
        <v>860.97621033000451</v>
      </c>
      <c r="E157" s="957">
        <f>$B157*'Recycling - Case 3'!$AK98*'Recycling - Case 3'!BO98</f>
        <v>235.15874027607174</v>
      </c>
      <c r="F157" s="957">
        <f>$B157*'Recycling - Case 3'!$AK98*'Recycling - Case 3'!BP98</f>
        <v>0</v>
      </c>
      <c r="G157" s="957">
        <f>$B157*'Recycling - Case 3'!$AK98*'Recycling - Case 3'!BQ98</f>
        <v>0</v>
      </c>
      <c r="H157" s="957">
        <f>$B157*'Recycling - Case 3'!$AK98*'Recycling - Case 3'!BR98</f>
        <v>0</v>
      </c>
      <c r="I157" s="957">
        <f>$B157*'Recycling - Case 3'!$AK98*'Recycling - Case 3'!BS98</f>
        <v>919.38988158299662</v>
      </c>
      <c r="J157" s="958">
        <f>SUM(C157:I157)</f>
        <v>2839.8947106150845</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1.2422589677319875</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31.674820200297397</v>
      </c>
      <c r="R157" s="1383">
        <f t="shared" ref="R157:R189" si="16">SUM(K157:Q157)</f>
        <v>32.917079168029382</v>
      </c>
      <c r="S157" s="932">
        <f>C157*'4C2 Open-burning '!$C$9*'4C2 Open-burning '!$C$11*$C$5</f>
        <v>3.2150425258614441</v>
      </c>
      <c r="T157" s="933">
        <f>D157*'4C2 Open-burning '!$C$9*'4C2 Open-burning '!$C$11*$C$5</f>
        <v>3.3578072202870168</v>
      </c>
      <c r="U157" s="933">
        <f>E157*'4C2 Open-burning '!$C$9*'4C2 Open-burning '!$C$11*$C$5</f>
        <v>0.91711908707667966</v>
      </c>
      <c r="V157" s="933">
        <f>F157*'4C2 Open-burning '!$C$9*'4C2 Open-burning '!$C$11*$C$5</f>
        <v>0</v>
      </c>
      <c r="W157" s="933">
        <f>G157*'4C2 Open-burning '!$C$9*'4C2 Open-burning '!$C$11*$C$5</f>
        <v>0</v>
      </c>
      <c r="X157" s="933">
        <f>H157*'4C2 Open-burning '!$C$9*'4C2 Open-burning '!$C$11*$C$5</f>
        <v>0</v>
      </c>
      <c r="Y157" s="933">
        <f>I157*'4C2 Open-burning '!$C$9*'4C2 Open-burning '!$C$11*$C$5</f>
        <v>3.5856205381736865</v>
      </c>
      <c r="Z157" s="934">
        <f t="shared" ref="Z157:Z189" si="17">SUM(S157:Y157)</f>
        <v>11.075589371398827</v>
      </c>
      <c r="AA157" s="1628">
        <f>C157*'4C2 Open-burning '!$C$10*'4C2 Open-burning '!$C$11*$C$5*C$15</f>
        <v>2.967731562333641E-2</v>
      </c>
      <c r="AB157" s="1629">
        <f>D157*'4C2 Open-burning '!$C$10*'4C2 Open-burning '!$C$11*$C$5*D$15</f>
        <v>3.0995143571880164E-2</v>
      </c>
      <c r="AC157" s="1629">
        <f>E157*'4C2 Open-burning '!$C$10*'4C2 Open-burning '!$C$11*$C$5*E$15</f>
        <v>1.904785796236181E-2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7.4470580408222728E-2</v>
      </c>
      <c r="AH157" s="937">
        <f t="shared" ref="AH157:AH189" si="18">SUM(AA157:AG157)</f>
        <v>0.15419089756580112</v>
      </c>
      <c r="AI157" s="1388"/>
      <c r="AJ157" s="1388"/>
      <c r="AK157" s="1388"/>
      <c r="AL157" s="4"/>
      <c r="AM157" s="4"/>
    </row>
    <row r="158" spans="1:39">
      <c r="A158" s="959">
        <f>'Input data'!A119</f>
        <v>2019</v>
      </c>
      <c r="B158" s="560">
        <f>'Recycling - Case 3'!AP99</f>
        <v>0.11764981833612098</v>
      </c>
      <c r="C158" s="527">
        <f>$B158*'Recycling - Case 3'!$AK99*'Recycling - Case 3'!BM99</f>
        <v>809.92590544275481</v>
      </c>
      <c r="D158" s="528">
        <f>$B158*'Recycling - Case 3'!$AK99*'Recycling - Case 3'!BN99</f>
        <v>845.89084944202864</v>
      </c>
      <c r="E158" s="528">
        <f>$B158*'Recycling - Case 3'!$AK99*'Recycling - Case 3'!BO99</f>
        <v>231.03847026110046</v>
      </c>
      <c r="F158" s="528">
        <f>$B158*'Recycling - Case 3'!$AK99*'Recycling - Case 3'!BP99</f>
        <v>0</v>
      </c>
      <c r="G158" s="528">
        <f>$B158*'Recycling - Case 3'!$AK99*'Recycling - Case 3'!BQ99</f>
        <v>0</v>
      </c>
      <c r="H158" s="528">
        <f>$B158*'Recycling - Case 3'!$AK99*'Recycling - Case 3'!BR99</f>
        <v>0</v>
      </c>
      <c r="I158" s="528">
        <f>$B158*'Recycling - Case 3'!$AK99*'Recycling - Case 3'!BS99</f>
        <v>903.28104141525625</v>
      </c>
      <c r="J158" s="744">
        <f t="shared" ref="J158:J189" si="19">SUM(C158:I158)</f>
        <v>2790.13626656114</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1.2204930645400998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31.119838438838407</v>
      </c>
      <c r="R158" s="1384">
        <f t="shared" si="16"/>
        <v>32.340331503378508</v>
      </c>
      <c r="S158" s="484">
        <f>C158*'4C2 Open-burning '!$C$9*'4C2 Open-burning '!$C$11*$C$5</f>
        <v>3.1587110312267437</v>
      </c>
      <c r="T158" s="485">
        <f>D158*'4C2 Open-burning '!$C$9*'4C2 Open-burning '!$C$11*$C$5</f>
        <v>3.2989743128239115</v>
      </c>
      <c r="U158" s="485">
        <f>E158*'4C2 Open-burning '!$C$9*'4C2 Open-burning '!$C$11*$C$5</f>
        <v>0.90105003401829165</v>
      </c>
      <c r="V158" s="485">
        <f>F158*'4C2 Open-burning '!$C$9*'4C2 Open-burning '!$C$11*$C$5</f>
        <v>0</v>
      </c>
      <c r="W158" s="485">
        <f>G158*'4C2 Open-burning '!$C$9*'4C2 Open-burning '!$C$11*$C$5</f>
        <v>0</v>
      </c>
      <c r="X158" s="485">
        <f>H158*'4C2 Open-burning '!$C$9*'4C2 Open-burning '!$C$11*$C$5</f>
        <v>0</v>
      </c>
      <c r="Y158" s="485">
        <f>I158*'4C2 Open-burning '!$C$9*'4C2 Open-burning '!$C$11*$C$5</f>
        <v>3.5227960615194993</v>
      </c>
      <c r="Z158" s="486">
        <f t="shared" si="17"/>
        <v>10.881531439588446</v>
      </c>
      <c r="AA158" s="1630">
        <f>C158*'4C2 Open-burning '!$C$10*'4C2 Open-burning '!$C$11*$C$5*C$15</f>
        <v>2.9157332595939174E-2</v>
      </c>
      <c r="AB158" s="487">
        <f>D158*'4C2 Open-burning '!$C$10*'4C2 Open-burning '!$C$11*$C$5*D$15</f>
        <v>3.0452070579913032E-2</v>
      </c>
      <c r="AC158" s="487">
        <f>E158*'4C2 Open-burning '!$C$10*'4C2 Open-burning '!$C$11*$C$5*E$15</f>
        <v>1.8714116091149133E-2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7.3165764354635746E-2</v>
      </c>
      <c r="AH158" s="488">
        <f t="shared" si="18"/>
        <v>0.15148928362163711</v>
      </c>
      <c r="AI158" s="1388"/>
      <c r="AJ158" s="1388"/>
      <c r="AK158" s="1388"/>
      <c r="AL158" s="4"/>
      <c r="AM158" s="4"/>
    </row>
    <row r="159" spans="1:39">
      <c r="A159" s="959">
        <f>'Input data'!A120</f>
        <v>2020</v>
      </c>
      <c r="B159" s="560">
        <f>'Recycling - Case 3'!AP100</f>
        <v>0.11516481062608747</v>
      </c>
      <c r="C159" s="527">
        <f>$B159*'Recycling - Case 3'!$AK100*'Recycling - Case 3'!BM100</f>
        <v>788.1132545414664</v>
      </c>
      <c r="D159" s="528">
        <f>$B159*'Recycling - Case 3'!$AK100*'Recycling - Case 3'!BN100</f>
        <v>823.10960281751591</v>
      </c>
      <c r="E159" s="528">
        <f>$B159*'Recycling - Case 3'!$AK100*'Recycling - Case 3'!BO100</f>
        <v>224.81622022229209</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878.95418152629838</v>
      </c>
      <c r="J159" s="744">
        <f t="shared" si="19"/>
        <v>2714.9932591075726</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1.1876231575950891</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30.281729461944028</v>
      </c>
      <c r="R159" s="1384">
        <f t="shared" si="16"/>
        <v>31.469352619539116</v>
      </c>
      <c r="S159" s="484">
        <f>C159*'4C2 Open-burning '!$C$9*'4C2 Open-burning '!$C$11*$C$5</f>
        <v>3.0736416927117189</v>
      </c>
      <c r="T159" s="485">
        <f>D159*'4C2 Open-burning '!$C$9*'4C2 Open-burning '!$C$11*$C$5</f>
        <v>3.2101274509883115</v>
      </c>
      <c r="U159" s="485">
        <f>E159*'4C2 Open-burning '!$C$9*'4C2 Open-burning '!$C$11*$C$5</f>
        <v>0.87678325886693897</v>
      </c>
      <c r="V159" s="485">
        <f>F159*'4C2 Open-burning '!$C$9*'4C2 Open-burning '!$C$11*$C$5</f>
        <v>0</v>
      </c>
      <c r="W159" s="485">
        <f>G159*'4C2 Open-burning '!$C$9*'4C2 Open-burning '!$C$11*$C$5</f>
        <v>0</v>
      </c>
      <c r="X159" s="485">
        <f>H159*'4C2 Open-burning '!$C$9*'4C2 Open-burning '!$C$11*$C$5</f>
        <v>0</v>
      </c>
      <c r="Y159" s="485">
        <f>I159*'4C2 Open-burning '!$C$9*'4C2 Open-burning '!$C$11*$C$5</f>
        <v>3.4279213079525634</v>
      </c>
      <c r="Z159" s="486">
        <f t="shared" si="17"/>
        <v>10.588473710519533</v>
      </c>
      <c r="AA159" s="1630">
        <f>C159*'4C2 Open-burning '!$C$10*'4C2 Open-burning '!$C$11*$C$5*C$15</f>
        <v>2.8372077163492788E-2</v>
      </c>
      <c r="AB159" s="487">
        <f>D159*'4C2 Open-burning '!$C$10*'4C2 Open-burning '!$C$11*$C$5*D$15</f>
        <v>2.9631945701430573E-2</v>
      </c>
      <c r="AC159" s="487">
        <f>E159*'4C2 Open-burning '!$C$10*'4C2 Open-burning '!$C$11*$C$5*E$15</f>
        <v>1.8210113838005654E-2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7.1195288703630163E-2</v>
      </c>
      <c r="AH159" s="488">
        <f t="shared" si="18"/>
        <v>0.14740942540655916</v>
      </c>
      <c r="AI159" s="1388"/>
      <c r="AJ159" s="1388"/>
      <c r="AK159" s="1388"/>
      <c r="AL159" s="4"/>
      <c r="AM159" s="4"/>
    </row>
    <row r="160" spans="1:39">
      <c r="A160" s="959">
        <f>'Input data'!A121</f>
        <v>2021</v>
      </c>
      <c r="B160" s="560">
        <f>'Recycling - Case 3'!AP101</f>
        <v>0.10863228387939264</v>
      </c>
      <c r="C160" s="527">
        <f>$B160*'Recycling - Case 3'!$AK101*'Recycling - Case 3'!BM101</f>
        <v>724.54295426384908</v>
      </c>
      <c r="D160" s="528">
        <f>$B160*'Recycling - Case 3'!$AK101*'Recycling - Case 3'!BN101</f>
        <v>756.7164489008959</v>
      </c>
      <c r="E160" s="528">
        <f>$B160*'Recycling - Case 3'!$AK101*'Recycling - Case 3'!BO101</f>
        <v>206.68223434595367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808.05652699769507</v>
      </c>
      <c r="J160" s="744">
        <f t="shared" si="19"/>
        <v>2495.9981645083935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1.0918278384453086</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27.839163468124589</v>
      </c>
      <c r="R160" s="1384">
        <f t="shared" si="16"/>
        <v>28.930991306569897</v>
      </c>
      <c r="S160" s="484">
        <f>C160*'4C2 Open-burning '!$C$9*'4C2 Open-burning '!$C$11*$C$5</f>
        <v>2.8257175216290111</v>
      </c>
      <c r="T160" s="485">
        <f>D160*'4C2 Open-burning '!$C$9*'4C2 Open-burning '!$C$11*$C$5</f>
        <v>2.9511941507134938</v>
      </c>
      <c r="U160" s="485">
        <f>E160*'4C2 Open-burning '!$C$9*'4C2 Open-burning '!$C$11*$C$5</f>
        <v>0.8060607139492193</v>
      </c>
      <c r="V160" s="485">
        <f>F160*'4C2 Open-burning '!$C$9*'4C2 Open-burning '!$C$11*$C$5</f>
        <v>0</v>
      </c>
      <c r="W160" s="485">
        <f>G160*'4C2 Open-burning '!$C$9*'4C2 Open-burning '!$C$11*$C$5</f>
        <v>0</v>
      </c>
      <c r="X160" s="485">
        <f>H160*'4C2 Open-burning '!$C$9*'4C2 Open-burning '!$C$11*$C$5</f>
        <v>0</v>
      </c>
      <c r="Y160" s="485">
        <f>I160*'4C2 Open-burning '!$C$9*'4C2 Open-burning '!$C$11*$C$5</f>
        <v>3.1514204552910106</v>
      </c>
      <c r="Z160" s="486">
        <f t="shared" si="17"/>
        <v>9.7343928415827357</v>
      </c>
      <c r="AA160" s="1630">
        <f>C160*'4C2 Open-burning '!$C$10*'4C2 Open-burning '!$C$11*$C$5*C$15</f>
        <v>2.6083546353498566E-2</v>
      </c>
      <c r="AB160" s="487">
        <f>D160*'4C2 Open-burning '!$C$10*'4C2 Open-burning '!$C$11*$C$5*D$15</f>
        <v>2.7241792160432252E-2</v>
      </c>
      <c r="AC160" s="487">
        <f>E160*'4C2 Open-burning '!$C$10*'4C2 Open-burning '!$C$11*$C$5*E$15</f>
        <v>1.6741260982022246E-2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6.5452578686813284E-2</v>
      </c>
      <c r="AH160" s="488">
        <f t="shared" si="18"/>
        <v>0.13551917818276635</v>
      </c>
      <c r="AI160" s="1388"/>
      <c r="AJ160" s="1388"/>
      <c r="AK160" s="1388"/>
      <c r="AL160" s="4"/>
      <c r="AM160" s="4"/>
    </row>
    <row r="161" spans="1:39">
      <c r="A161" s="959">
        <f>'Input data'!A122</f>
        <v>2022</v>
      </c>
      <c r="B161" s="560">
        <f>'Recycling - Case 3'!AP102</f>
        <v>9.578766486538827E-2</v>
      </c>
      <c r="C161" s="527">
        <f>$B161*'Recycling - Case 3'!$AK102*'Recycling - Case 3'!BM102</f>
        <v>603.00727429219444</v>
      </c>
      <c r="D161" s="528">
        <f>$B161*'Recycling - Case 3'!$AK102*'Recycling - Case 3'!BN102</f>
        <v>629.7839494242462</v>
      </c>
      <c r="E161" s="528">
        <f>$B161*'Recycling - Case 3'!$AK102*'Recycling - Case 3'!BO102</f>
        <v>172.01311536346623</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672.51218295810713</v>
      </c>
      <c r="J161" s="744">
        <f t="shared" si="19"/>
        <v>2077.3165220380138</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0.90868336374366121</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23.169389727272705</v>
      </c>
      <c r="R161" s="1384">
        <f t="shared" si="16"/>
        <v>24.078073091016368</v>
      </c>
      <c r="S161" s="484">
        <f>C161*'4C2 Open-burning '!$C$9*'4C2 Open-burning '!$C$11*$C$5</f>
        <v>2.3517283697395581</v>
      </c>
      <c r="T161" s="485">
        <f>D161*'4C2 Open-burning '!$C$9*'4C2 Open-burning '!$C$11*$C$5</f>
        <v>2.4561574027545601</v>
      </c>
      <c r="U161" s="485">
        <f>E161*'4C2 Open-burning '!$C$9*'4C2 Open-burning '!$C$11*$C$5</f>
        <v>0.67085114991751826</v>
      </c>
      <c r="V161" s="485">
        <f>F161*'4C2 Open-burning '!$C$9*'4C2 Open-burning '!$C$11*$C$5</f>
        <v>0</v>
      </c>
      <c r="W161" s="485">
        <f>G161*'4C2 Open-burning '!$C$9*'4C2 Open-burning '!$C$11*$C$5</f>
        <v>0</v>
      </c>
      <c r="X161" s="485">
        <f>H161*'4C2 Open-burning '!$C$9*'4C2 Open-burning '!$C$11*$C$5</f>
        <v>0</v>
      </c>
      <c r="Y161" s="485">
        <f>I161*'4C2 Open-burning '!$C$9*'4C2 Open-burning '!$C$11*$C$5</f>
        <v>2.6227975135366175</v>
      </c>
      <c r="Z161" s="486">
        <f t="shared" si="17"/>
        <v>8.1015344359482544</v>
      </c>
      <c r="AA161" s="1630">
        <f>C161*'4C2 Open-burning '!$C$10*'4C2 Open-burning '!$C$11*$C$5*C$15</f>
        <v>2.1708261874519002E-2</v>
      </c>
      <c r="AB161" s="487">
        <f>D161*'4C2 Open-burning '!$C$10*'4C2 Open-burning '!$C$11*$C$5*D$15</f>
        <v>2.2672222179272863E-2</v>
      </c>
      <c r="AC161" s="487">
        <f>E161*'4C2 Open-burning '!$C$10*'4C2 Open-burning '!$C$11*$C$5*E$15</f>
        <v>1.3933062344440762E-2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5.4473486819606676E-2</v>
      </c>
      <c r="AH161" s="488">
        <f t="shared" si="18"/>
        <v>0.11278703321783931</v>
      </c>
      <c r="AI161" s="1388"/>
      <c r="AJ161" s="1388"/>
      <c r="AK161" s="1388"/>
      <c r="AL161" s="4"/>
      <c r="AM161" s="4"/>
    </row>
    <row r="162" spans="1:39">
      <c r="A162" s="959">
        <f>'Input data'!A123</f>
        <v>2023</v>
      </c>
      <c r="B162" s="560">
        <f>'Recycling - Case 3'!AP103</f>
        <v>9.1876370943876864E-2</v>
      </c>
      <c r="C162" s="527">
        <f>$B162*'Recycling - Case 3'!$AK103*'Recycling - Case 3'!BM103</f>
        <v>571.86963086399362</v>
      </c>
      <c r="D162" s="528">
        <f>$B162*'Recycling - Case 3'!$AK103*'Recycling - Case 3'!BN103</f>
        <v>597.26363185926448</v>
      </c>
      <c r="E162" s="528">
        <f>$B162*'Recycling - Case 3'!$AK103*'Recycling - Case 3'!BO103</f>
        <v>163.130829395277</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637.78549648711851</v>
      </c>
      <c r="J162" s="744">
        <f t="shared" si="19"/>
        <v>1970.0495886056538</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0.86176144459666615</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21.972985924974203</v>
      </c>
      <c r="R162" s="1384">
        <f t="shared" si="16"/>
        <v>22.83474736957087</v>
      </c>
      <c r="S162" s="484">
        <f>C162*'4C2 Open-burning '!$C$9*'4C2 Open-burning '!$C$11*$C$5</f>
        <v>2.230291560369575</v>
      </c>
      <c r="T162" s="485">
        <f>D162*'4C2 Open-burning '!$C$9*'4C2 Open-burning '!$C$11*$C$5</f>
        <v>2.3293281642511312</v>
      </c>
      <c r="U162" s="485">
        <f>E162*'4C2 Open-burning '!$C$9*'4C2 Open-burning '!$C$11*$C$5</f>
        <v>0.63621023464158022</v>
      </c>
      <c r="V162" s="485">
        <f>F162*'4C2 Open-burning '!$C$9*'4C2 Open-burning '!$C$11*$C$5</f>
        <v>0</v>
      </c>
      <c r="W162" s="485">
        <f>G162*'4C2 Open-burning '!$C$9*'4C2 Open-burning '!$C$11*$C$5</f>
        <v>0</v>
      </c>
      <c r="X162" s="485">
        <f>H162*'4C2 Open-burning '!$C$9*'4C2 Open-burning '!$C$11*$C$5</f>
        <v>0</v>
      </c>
      <c r="Y162" s="485">
        <f>I162*'4C2 Open-burning '!$C$9*'4C2 Open-burning '!$C$11*$C$5</f>
        <v>2.4873634362997619</v>
      </c>
      <c r="Z162" s="486">
        <f t="shared" si="17"/>
        <v>7.6831933955620482</v>
      </c>
      <c r="AA162" s="1630">
        <f>C162*'4C2 Open-burning '!$C$10*'4C2 Open-burning '!$C$11*$C$5*C$15</f>
        <v>2.0587306711103773E-2</v>
      </c>
      <c r="AB162" s="487">
        <f>D162*'4C2 Open-burning '!$C$10*'4C2 Open-burning '!$C$11*$C$5*D$15</f>
        <v>2.150149074693352E-2</v>
      </c>
      <c r="AC162" s="487">
        <f>E162*'4C2 Open-burning '!$C$10*'4C2 Open-burning '!$C$11*$C$5*E$15</f>
        <v>1.3213597181017438E-2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5.1660625215456592E-2</v>
      </c>
      <c r="AH162" s="488">
        <f t="shared" si="18"/>
        <v>0.10696301985451132</v>
      </c>
      <c r="AI162" s="1388"/>
      <c r="AJ162" s="1388"/>
      <c r="AK162" s="1388"/>
      <c r="AL162" s="4"/>
      <c r="AM162" s="4"/>
    </row>
    <row r="163" spans="1:39">
      <c r="A163" s="959">
        <f>'Input data'!A124</f>
        <v>2024</v>
      </c>
      <c r="B163" s="560">
        <f>'Recycling - Case 3'!AP104</f>
        <v>8.7781287828344545E-2</v>
      </c>
      <c r="C163" s="527">
        <f>$B163*'Recycling - Case 3'!$AK104*'Recycling - Case 3'!BM104</f>
        <v>540.19893182009275</v>
      </c>
      <c r="D163" s="528">
        <f>$B163*'Recycling - Case 3'!$AK104*'Recycling - Case 3'!BN104</f>
        <v>564.18658822275654</v>
      </c>
      <c r="E163" s="528">
        <f>$B163*'Recycling - Case 3'!$AK104*'Recycling - Case 3'!BO104</f>
        <v>154.09648463604552</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602.46431238561058</v>
      </c>
      <c r="J163" s="744">
        <f t="shared" si="19"/>
        <v>1860.9463170645054</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0.81403625359775944</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20.756100490309052</v>
      </c>
      <c r="R163" s="1384">
        <f t="shared" si="16"/>
        <v>21.570136743906811</v>
      </c>
      <c r="S163" s="484">
        <f>C163*'4C2 Open-burning '!$C$9*'4C2 Open-burning '!$C$11*$C$5</f>
        <v>2.1067758340983613</v>
      </c>
      <c r="T163" s="485">
        <f>D163*'4C2 Open-burning '!$C$9*'4C2 Open-burning '!$C$11*$C$5</f>
        <v>2.2003276940687506</v>
      </c>
      <c r="U163" s="485">
        <f>E163*'4C2 Open-burning '!$C$9*'4C2 Open-burning '!$C$11*$C$5</f>
        <v>0.6009762900805774</v>
      </c>
      <c r="V163" s="485">
        <f>F163*'4C2 Open-burning '!$C$9*'4C2 Open-burning '!$C$11*$C$5</f>
        <v>0</v>
      </c>
      <c r="W163" s="485">
        <f>G163*'4C2 Open-burning '!$C$9*'4C2 Open-burning '!$C$11*$C$5</f>
        <v>0</v>
      </c>
      <c r="X163" s="485">
        <f>H163*'4C2 Open-burning '!$C$9*'4C2 Open-burning '!$C$11*$C$5</f>
        <v>0</v>
      </c>
      <c r="Y163" s="485">
        <f>I163*'4C2 Open-burning '!$C$9*'4C2 Open-burning '!$C$11*$C$5</f>
        <v>2.3496108183038813</v>
      </c>
      <c r="Z163" s="486">
        <f t="shared" si="17"/>
        <v>7.2576906365515708</v>
      </c>
      <c r="AA163" s="1630">
        <f>C163*'4C2 Open-burning '!$C$10*'4C2 Open-burning '!$C$11*$C$5*C$15</f>
        <v>1.9447161545523339E-2</v>
      </c>
      <c r="AB163" s="487">
        <f>D163*'4C2 Open-burning '!$C$10*'4C2 Open-burning '!$C$11*$C$5*D$15</f>
        <v>2.0310717176019233E-2</v>
      </c>
      <c r="AC163" s="487">
        <f>E163*'4C2 Open-burning '!$C$10*'4C2 Open-burning '!$C$11*$C$5*E$15</f>
        <v>1.2481815255519687E-2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4.8799609303234445E-2</v>
      </c>
      <c r="AH163" s="488">
        <f t="shared" si="18"/>
        <v>0.1010393032802967</v>
      </c>
      <c r="AI163" s="1388"/>
      <c r="AJ163" s="1388"/>
      <c r="AK163" s="1388"/>
      <c r="AL163" s="4"/>
      <c r="AM163" s="4"/>
    </row>
    <row r="164" spans="1:39">
      <c r="A164" s="959">
        <f>'Input data'!A125</f>
        <v>2025</v>
      </c>
      <c r="B164" s="560">
        <f>'Recycling - Case 3'!AP105</f>
        <v>8.349396478864321E-2</v>
      </c>
      <c r="C164" s="527">
        <f>$B164*'Recycling - Case 3'!$AK105*'Recycling - Case 3'!BM105</f>
        <v>507.97598639462262</v>
      </c>
      <c r="D164" s="528">
        <f>$B164*'Recycling - Case 3'!$AK105*'Recycling - Case 3'!BN105</f>
        <v>530.53277557853119</v>
      </c>
      <c r="E164" s="528">
        <f>$B164*'Recycling - Case 3'!$AK105*'Recycling - Case 3'!BO105</f>
        <v>144.90460675144101</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566.52722788715357</v>
      </c>
      <c r="J164" s="744">
        <f t="shared" si="19"/>
        <v>1749.9405966117483</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0.7654788718094323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19.517996055168211</v>
      </c>
      <c r="R164" s="1384">
        <f t="shared" si="16"/>
        <v>20.283474926977643</v>
      </c>
      <c r="S164" s="484">
        <f>C164*'4C2 Open-burning '!$C$9*'4C2 Open-burning '!$C$11*$C$5</f>
        <v>1.981106346939028</v>
      </c>
      <c r="T164" s="485">
        <f>D164*'4C2 Open-burning '!$C$9*'4C2 Open-burning '!$C$11*$C$5</f>
        <v>2.0690778247562713</v>
      </c>
      <c r="U164" s="485">
        <f>E164*'4C2 Open-burning '!$C$9*'4C2 Open-burning '!$C$11*$C$5</f>
        <v>0.5651279663306199</v>
      </c>
      <c r="V164" s="485">
        <f>F164*'4C2 Open-burning '!$C$9*'4C2 Open-burning '!$C$11*$C$5</f>
        <v>0</v>
      </c>
      <c r="W164" s="485">
        <f>G164*'4C2 Open-burning '!$C$9*'4C2 Open-burning '!$C$11*$C$5</f>
        <v>0</v>
      </c>
      <c r="X164" s="485">
        <f>H164*'4C2 Open-burning '!$C$9*'4C2 Open-burning '!$C$11*$C$5</f>
        <v>0</v>
      </c>
      <c r="Y164" s="485">
        <f>I164*'4C2 Open-burning '!$C$9*'4C2 Open-burning '!$C$11*$C$5</f>
        <v>2.2094561887598987</v>
      </c>
      <c r="Z164" s="486">
        <f t="shared" si="17"/>
        <v>6.8247683267858177</v>
      </c>
      <c r="AA164" s="1630">
        <f>C164*'4C2 Open-burning '!$C$10*'4C2 Open-burning '!$C$11*$C$5*C$15</f>
        <v>1.8287135510206411E-2</v>
      </c>
      <c r="AB164" s="487">
        <f>D164*'4C2 Open-burning '!$C$10*'4C2 Open-burning '!$C$11*$C$5*D$15</f>
        <v>1.9099179920827124E-2</v>
      </c>
      <c r="AC164" s="487">
        <f>E164*'4C2 Open-burning '!$C$10*'4C2 Open-burning '!$C$11*$C$5*E$15</f>
        <v>1.173727314686672E-2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4.5888705458859438E-2</v>
      </c>
      <c r="AH164" s="488">
        <f t="shared" si="18"/>
        <v>9.501229403675969E-2</v>
      </c>
      <c r="AI164" s="1388"/>
      <c r="AJ164" s="1388"/>
      <c r="AK164" s="1388"/>
      <c r="AL164" s="4"/>
      <c r="AM164" s="4"/>
    </row>
    <row r="165" spans="1:39">
      <c r="A165" s="959">
        <f>'Input data'!A126</f>
        <v>2026</v>
      </c>
      <c r="B165" s="560">
        <f>'Recycling - Case 3'!AP106</f>
        <v>7.9101736825983426E-2</v>
      </c>
      <c r="C165" s="527">
        <f>$B165*'Recycling - Case 3'!$AK106*'Recycling - Case 3'!BM106</f>
        <v>475.46267640855103</v>
      </c>
      <c r="D165" s="528">
        <f>$B165*'Recycling - Case 3'!$AK106*'Recycling - Case 3'!BN106</f>
        <v>496.57570466936522</v>
      </c>
      <c r="E165" s="528">
        <f>$B165*'Recycling - Case 3'!$AK106*'Recycling - Case 3'!BO106</f>
        <v>135.62989982846574</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530.26631030603096</v>
      </c>
      <c r="J165" s="744">
        <f t="shared" si="19"/>
        <v>1637.9345912124131</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0.71648393402984623</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18.268734922663377</v>
      </c>
      <c r="R165" s="1384">
        <f t="shared" si="16"/>
        <v>18.985218856693223</v>
      </c>
      <c r="S165" s="484">
        <f>C165*'4C2 Open-burning '!$C$9*'4C2 Open-burning '!$C$11*$C$5</f>
        <v>1.8543044379933491</v>
      </c>
      <c r="T165" s="485">
        <f>D165*'4C2 Open-burning '!$C$9*'4C2 Open-burning '!$C$11*$C$5</f>
        <v>1.9366452482105243</v>
      </c>
      <c r="U165" s="485">
        <f>E165*'4C2 Open-burning '!$C$9*'4C2 Open-burning '!$C$11*$C$5</f>
        <v>0.5289566093310164</v>
      </c>
      <c r="V165" s="485">
        <f>F165*'4C2 Open-burning '!$C$9*'4C2 Open-burning '!$C$11*$C$5</f>
        <v>0</v>
      </c>
      <c r="W165" s="485">
        <f>G165*'4C2 Open-burning '!$C$9*'4C2 Open-burning '!$C$11*$C$5</f>
        <v>0</v>
      </c>
      <c r="X165" s="485">
        <f>H165*'4C2 Open-burning '!$C$9*'4C2 Open-burning '!$C$11*$C$5</f>
        <v>0</v>
      </c>
      <c r="Y165" s="485">
        <f>I165*'4C2 Open-burning '!$C$9*'4C2 Open-burning '!$C$11*$C$5</f>
        <v>2.0680386101935206</v>
      </c>
      <c r="Z165" s="486">
        <f t="shared" si="17"/>
        <v>6.3879449057284106</v>
      </c>
      <c r="AA165" s="1630">
        <f>C165*'4C2 Open-burning '!$C$10*'4C2 Open-burning '!$C$11*$C$5*C$15</f>
        <v>1.7116656350707839E-2</v>
      </c>
      <c r="AB165" s="487">
        <f>D165*'4C2 Open-burning '!$C$10*'4C2 Open-burning '!$C$11*$C$5*D$15</f>
        <v>1.787672536809715E-2</v>
      </c>
      <c r="AC165" s="487">
        <f>E165*'4C2 Open-burning '!$C$10*'4C2 Open-burning '!$C$11*$C$5*E$15</f>
        <v>1.0986021886105724E-2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4.2951571134788508E-2</v>
      </c>
      <c r="AH165" s="488">
        <f t="shared" si="18"/>
        <v>8.8930974739699215E-2</v>
      </c>
      <c r="AI165" s="1388"/>
      <c r="AJ165" s="1388"/>
      <c r="AK165" s="1388"/>
      <c r="AL165" s="4"/>
      <c r="AM165" s="4"/>
    </row>
    <row r="166" spans="1:39">
      <c r="A166" s="959">
        <f>'Input data'!A127</f>
        <v>2027</v>
      </c>
      <c r="B166" s="560">
        <f>'Recycling - Case 3'!AP107</f>
        <v>7.449053629684603E-2</v>
      </c>
      <c r="C166" s="527">
        <f>$B166*'Recycling - Case 3'!$AK107*'Recycling - Case 3'!BM107</f>
        <v>442.31301577741147</v>
      </c>
      <c r="D166" s="528">
        <f>$B166*'Recycling - Case 3'!$AK107*'Recycling - Case 3'!BN107</f>
        <v>461.954025820038</v>
      </c>
      <c r="E166" s="528">
        <f>$B166*'Recycling - Case 3'!$AK107*'Recycling - Case 3'!BO107</f>
        <v>126.17366830108136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493.2956938876203</v>
      </c>
      <c r="J166" s="744">
        <f t="shared" si="19"/>
        <v>1523.736403786151</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0.6665300671140244</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16.995023245816292</v>
      </c>
      <c r="R166" s="1384">
        <f t="shared" si="16"/>
        <v>17.661553312930316</v>
      </c>
      <c r="S166" s="484">
        <f>C166*'4C2 Open-burning '!$C$9*'4C2 Open-burning '!$C$11*$C$5</f>
        <v>1.7250207615319046</v>
      </c>
      <c r="T166" s="485">
        <f>D166*'4C2 Open-burning '!$C$9*'4C2 Open-burning '!$C$11*$C$5</f>
        <v>1.8016207006981479</v>
      </c>
      <c r="U166" s="485">
        <f>E166*'4C2 Open-burning '!$C$9*'4C2 Open-burning '!$C$11*$C$5</f>
        <v>0.49207730637421726</v>
      </c>
      <c r="V166" s="485">
        <f>F166*'4C2 Open-burning '!$C$9*'4C2 Open-burning '!$C$11*$C$5</f>
        <v>0</v>
      </c>
      <c r="W166" s="485">
        <f>G166*'4C2 Open-burning '!$C$9*'4C2 Open-burning '!$C$11*$C$5</f>
        <v>0</v>
      </c>
      <c r="X166" s="485">
        <f>H166*'4C2 Open-burning '!$C$9*'4C2 Open-burning '!$C$11*$C$5</f>
        <v>0</v>
      </c>
      <c r="Y166" s="485">
        <f>I166*'4C2 Open-burning '!$C$9*'4C2 Open-burning '!$C$11*$C$5</f>
        <v>1.9238532061617191</v>
      </c>
      <c r="Z166" s="486">
        <f t="shared" si="17"/>
        <v>5.9425719747659889</v>
      </c>
      <c r="AA166" s="1630">
        <f>C166*'4C2 Open-burning '!$C$10*'4C2 Open-burning '!$C$11*$C$5*C$15</f>
        <v>1.5923268567986811E-2</v>
      </c>
      <c r="AB166" s="487">
        <f>D166*'4C2 Open-burning '!$C$10*'4C2 Open-burning '!$C$11*$C$5*D$15</f>
        <v>1.6630344929521368E-2</v>
      </c>
      <c r="AC166" s="487">
        <f>E166*'4C2 Open-burning '!$C$10*'4C2 Open-burning '!$C$11*$C$5*E$15</f>
        <v>1.0220067132387588E-2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3.9956951204897243E-2</v>
      </c>
      <c r="AH166" s="488">
        <f t="shared" si="18"/>
        <v>8.2730631834793011E-2</v>
      </c>
      <c r="AI166" s="1388"/>
      <c r="AJ166" s="1388"/>
      <c r="AK166" s="1388"/>
      <c r="AL166" s="4"/>
      <c r="AM166" s="4"/>
    </row>
    <row r="167" spans="1:39">
      <c r="A167" s="959">
        <f>'Input data'!A128</f>
        <v>2028</v>
      </c>
      <c r="B167" s="560">
        <f>'Recycling - Case 3'!AP108</f>
        <v>6.9650860429227149E-2</v>
      </c>
      <c r="C167" s="527">
        <f>$B167*'Recycling - Case 3'!$AK108*'Recycling - Case 3'!BM108</f>
        <v>408.50936814772336</v>
      </c>
      <c r="D167" s="528">
        <f>$B167*'Recycling - Case 3'!$AK108*'Recycling - Case 3'!BN108</f>
        <v>426.64931953078241</v>
      </c>
      <c r="E167" s="528">
        <f>$B167*'Recycling - Case 3'!$AK108*'Recycling - Case 3'!BO108</f>
        <v>116.53088124472833</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455.59570944535562</v>
      </c>
      <c r="J167" s="744">
        <f t="shared" si="19"/>
        <v>1407.2852783685898</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0.61559069449865167</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15.696183381811391</v>
      </c>
      <c r="R167" s="1384">
        <f t="shared" si="16"/>
        <v>16.311774076310044</v>
      </c>
      <c r="S167" s="484">
        <f>C167*'4C2 Open-burning '!$C$9*'4C2 Open-burning '!$C$11*$C$5</f>
        <v>1.593186535776121</v>
      </c>
      <c r="T167" s="485">
        <f>D167*'4C2 Open-burning '!$C$9*'4C2 Open-burning '!$C$11*$C$5</f>
        <v>1.6639323461700515</v>
      </c>
      <c r="U167" s="485">
        <f>E167*'4C2 Open-burning '!$C$9*'4C2 Open-burning '!$C$11*$C$5</f>
        <v>0.4544704368544405</v>
      </c>
      <c r="V167" s="485">
        <f>F167*'4C2 Open-burning '!$C$9*'4C2 Open-burning '!$C$11*$C$5</f>
        <v>0</v>
      </c>
      <c r="W167" s="485">
        <f>G167*'4C2 Open-burning '!$C$9*'4C2 Open-burning '!$C$11*$C$5</f>
        <v>0</v>
      </c>
      <c r="X167" s="485">
        <f>H167*'4C2 Open-burning '!$C$9*'4C2 Open-burning '!$C$11*$C$5</f>
        <v>0</v>
      </c>
      <c r="Y167" s="485">
        <f>I167*'4C2 Open-burning '!$C$9*'4C2 Open-burning '!$C$11*$C$5</f>
        <v>1.7768232668368868</v>
      </c>
      <c r="Z167" s="486">
        <f t="shared" si="17"/>
        <v>5.4884125856374997</v>
      </c>
      <c r="AA167" s="1630">
        <f>C167*'4C2 Open-burning '!$C$10*'4C2 Open-burning '!$C$11*$C$5*C$15</f>
        <v>1.4706337253318042E-2</v>
      </c>
      <c r="AB167" s="487">
        <f>D167*'4C2 Open-burning '!$C$10*'4C2 Open-burning '!$C$11*$C$5*D$15</f>
        <v>1.5359375503108168E-2</v>
      </c>
      <c r="AC167" s="487">
        <f>E167*'4C2 Open-burning '!$C$10*'4C2 Open-burning '!$C$11*$C$5*E$15</f>
        <v>9.4390013808229936E-3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3.6903252465073803E-2</v>
      </c>
      <c r="AH167" s="488">
        <f t="shared" si="18"/>
        <v>7.6407966602323005E-2</v>
      </c>
      <c r="AI167" s="1388"/>
      <c r="AJ167" s="1388"/>
      <c r="AK167" s="1388"/>
      <c r="AL167" s="4"/>
      <c r="AM167" s="4"/>
    </row>
    <row r="168" spans="1:39">
      <c r="A168" s="959">
        <f>'Input data'!A129</f>
        <v>2029</v>
      </c>
      <c r="B168" s="560">
        <f>'Recycling - Case 3'!AP109</f>
        <v>6.4568981431791031E-2</v>
      </c>
      <c r="C168" s="527">
        <f>$B168*'Recycling - Case 3'!$AK109*'Recycling - Case 3'!BM109</f>
        <v>374.02309963439103</v>
      </c>
      <c r="D168" s="528">
        <f>$B168*'Recycling - Case 3'!$AK109*'Recycling - Case 3'!BN109</f>
        <v>390.63168042232394</v>
      </c>
      <c r="E168" s="528">
        <f>$B168*'Recycling - Case 3'!$AK109*'Recycling - Case 3'!BO109</f>
        <v>106.69337059246902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417.13442264379307</v>
      </c>
      <c r="J168" s="744">
        <f t="shared" si="19"/>
        <v>1288.4825732929771</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0.56362266722660059</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14.371115128923957</v>
      </c>
      <c r="R168" s="1384">
        <f t="shared" si="16"/>
        <v>14.934737796150557</v>
      </c>
      <c r="S168" s="484">
        <f>C168*'4C2 Open-burning '!$C$9*'4C2 Open-burning '!$C$11*$C$5</f>
        <v>1.458690088574125</v>
      </c>
      <c r="T168" s="485">
        <f>D168*'4C2 Open-burning '!$C$9*'4C2 Open-burning '!$C$11*$C$5</f>
        <v>1.5234635536470635</v>
      </c>
      <c r="U168" s="485">
        <f>E168*'4C2 Open-burning '!$C$9*'4C2 Open-burning '!$C$11*$C$5</f>
        <v>0.41610414531062917</v>
      </c>
      <c r="V168" s="485">
        <f>F168*'4C2 Open-burning '!$C$9*'4C2 Open-burning '!$C$11*$C$5</f>
        <v>0</v>
      </c>
      <c r="W168" s="485">
        <f>G168*'4C2 Open-burning '!$C$9*'4C2 Open-burning '!$C$11*$C$5</f>
        <v>0</v>
      </c>
      <c r="X168" s="485">
        <f>H168*'4C2 Open-burning '!$C$9*'4C2 Open-burning '!$C$11*$C$5</f>
        <v>0</v>
      </c>
      <c r="Y168" s="485">
        <f>I168*'4C2 Open-burning '!$C$9*'4C2 Open-burning '!$C$11*$C$5</f>
        <v>1.6268242483107931</v>
      </c>
      <c r="Z168" s="486">
        <f t="shared" si="17"/>
        <v>5.0250820358426109</v>
      </c>
      <c r="AA168" s="1630">
        <f>C168*'4C2 Open-burning '!$C$10*'4C2 Open-burning '!$C$11*$C$5*C$15</f>
        <v>1.3464831586838075E-2</v>
      </c>
      <c r="AB168" s="487">
        <f>D168*'4C2 Open-burning '!$C$10*'4C2 Open-burning '!$C$11*$C$5*D$15</f>
        <v>1.406274049520366E-2</v>
      </c>
      <c r="AC168" s="487">
        <f>E168*'4C2 Open-burning '!$C$10*'4C2 Open-burning '!$C$11*$C$5*E$15</f>
        <v>8.642163017989991E-3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3.3787888234147238E-2</v>
      </c>
      <c r="AH168" s="488">
        <f t="shared" si="18"/>
        <v>6.9957623334178959E-2</v>
      </c>
      <c r="AI168" s="1388"/>
      <c r="AJ168" s="1388"/>
      <c r="AK168" s="1388"/>
      <c r="AL168" s="4"/>
      <c r="AM168" s="4"/>
    </row>
    <row r="169" spans="1:39">
      <c r="A169" s="959">
        <f>'Input data'!A130</f>
        <v>2030</v>
      </c>
      <c r="B169" s="560">
        <f>'Recycling - Case 3'!AP110</f>
        <v>5.9232960417564769E-2</v>
      </c>
      <c r="C169" s="527">
        <f>$B169*'Recycling - Case 3'!$AK110*'Recycling - Case 3'!BM110</f>
        <v>338.8316654521841</v>
      </c>
      <c r="D169" s="528">
        <f>$B169*'Recycling - Case 3'!$AK110*'Recycling - Case 3'!BN110</f>
        <v>353.87756260311772</v>
      </c>
      <c r="E169" s="528">
        <f>$B169*'Recycling - Case 3'!$AK110*'Recycling - Case 3'!BO110</f>
        <v>96.654705246524045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377.88669010013132</v>
      </c>
      <c r="J169" s="744">
        <f t="shared" si="19"/>
        <v>1167.250623401957</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0.51059201212349781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13.018952247329723</v>
      </c>
      <c r="R169" s="1384">
        <f t="shared" si="16"/>
        <v>13.529544259453221</v>
      </c>
      <c r="S169" s="484">
        <f>C169*'4C2 Open-burning '!$C$9*'4C2 Open-burning '!$C$11*$C$5</f>
        <v>1.3214434952635177</v>
      </c>
      <c r="T169" s="485">
        <f>D169*'4C2 Open-burning '!$C$9*'4C2 Open-burning '!$C$11*$C$5</f>
        <v>1.380122494152159</v>
      </c>
      <c r="U169" s="485">
        <f>E169*'4C2 Open-burning '!$C$9*'4C2 Open-burning '!$C$11*$C$5</f>
        <v>0.37695335046144374</v>
      </c>
      <c r="V169" s="485">
        <f>F169*'4C2 Open-burning '!$C$9*'4C2 Open-burning '!$C$11*$C$5</f>
        <v>0</v>
      </c>
      <c r="W169" s="485">
        <f>G169*'4C2 Open-burning '!$C$9*'4C2 Open-burning '!$C$11*$C$5</f>
        <v>0</v>
      </c>
      <c r="X169" s="485">
        <f>H169*'4C2 Open-burning '!$C$9*'4C2 Open-burning '!$C$11*$C$5</f>
        <v>0</v>
      </c>
      <c r="Y169" s="485">
        <f>I169*'4C2 Open-burning '!$C$9*'4C2 Open-burning '!$C$11*$C$5</f>
        <v>1.4737580913905122</v>
      </c>
      <c r="Z169" s="486">
        <f t="shared" si="17"/>
        <v>4.5522774312676333</v>
      </c>
      <c r="AA169" s="1630">
        <f>C169*'4C2 Open-burning '!$C$10*'4C2 Open-burning '!$C$11*$C$5*C$15</f>
        <v>1.2197939956278627E-2</v>
      </c>
      <c r="AB169" s="487">
        <f>D169*'4C2 Open-burning '!$C$10*'4C2 Open-burning '!$C$11*$C$5*D$15</f>
        <v>1.2739592253712238E-2</v>
      </c>
      <c r="AC169" s="487">
        <f>E169*'4C2 Open-burning '!$C$10*'4C2 Open-burning '!$C$11*$C$5*E$15</f>
        <v>7.8290311249684472E-3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3.0608821898110639E-2</v>
      </c>
      <c r="AH169" s="488">
        <f t="shared" si="18"/>
        <v>6.3375385233069945E-2</v>
      </c>
      <c r="AI169" s="1388"/>
      <c r="AJ169" s="1388"/>
      <c r="AK169" s="1388"/>
      <c r="AL169" s="4"/>
      <c r="AM169" s="4"/>
    </row>
    <row r="170" spans="1:39">
      <c r="A170" s="959">
        <f>'Input data'!A131</f>
        <v>2031</v>
      </c>
      <c r="B170" s="560">
        <f>'Recycling - Case 3'!AP111</f>
        <v>5.3304020922571353E-2</v>
      </c>
      <c r="C170" s="527">
        <f>$B170*'Recycling - Case 3'!$AK111*'Recycling - Case 3'!BM111</f>
        <v>298.8263783237918</v>
      </c>
      <c r="D170" s="528">
        <f>$B170*'Recycling - Case 3'!$AK111*'Recycling - Case 3'!BN111</f>
        <v>312.09583160303453</v>
      </c>
      <c r="E170" s="528">
        <f>$B170*'Recycling - Case 3'!$AK111*'Recycling - Case 3'!BO111</f>
        <v>85.242846114240592</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333.27024163661861</v>
      </c>
      <c r="J170" s="744">
        <f t="shared" si="19"/>
        <v>1029.4352976776854</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0.45030726859693193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11.481826364864784</v>
      </c>
      <c r="R170" s="1384">
        <f t="shared" si="16"/>
        <v>11.932133633461715</v>
      </c>
      <c r="S170" s="484">
        <f>C170*'4C2 Open-burning '!$C$9*'4C2 Open-burning '!$C$11*$C$5</f>
        <v>1.165422875462788</v>
      </c>
      <c r="T170" s="485">
        <f>D170*'4C2 Open-burning '!$C$9*'4C2 Open-burning '!$C$11*$C$5</f>
        <v>1.2171737432518346</v>
      </c>
      <c r="U170" s="485">
        <f>E170*'4C2 Open-burning '!$C$9*'4C2 Open-burning '!$C$11*$C$5</f>
        <v>0.33244709984553822</v>
      </c>
      <c r="V170" s="485">
        <f>F170*'4C2 Open-burning '!$C$9*'4C2 Open-burning '!$C$11*$C$5</f>
        <v>0</v>
      </c>
      <c r="W170" s="485">
        <f>G170*'4C2 Open-burning '!$C$9*'4C2 Open-burning '!$C$11*$C$5</f>
        <v>0</v>
      </c>
      <c r="X170" s="485">
        <f>H170*'4C2 Open-burning '!$C$9*'4C2 Open-burning '!$C$11*$C$5</f>
        <v>0</v>
      </c>
      <c r="Y170" s="485">
        <f>I170*'4C2 Open-burning '!$C$9*'4C2 Open-burning '!$C$11*$C$5</f>
        <v>1.2997539423828126</v>
      </c>
      <c r="Z170" s="486">
        <f t="shared" si="17"/>
        <v>4.014797660942973</v>
      </c>
      <c r="AA170" s="1630">
        <f>C170*'4C2 Open-burning '!$C$10*'4C2 Open-burning '!$C$11*$C$5*C$15</f>
        <v>1.0757749619656504E-2</v>
      </c>
      <c r="AB170" s="487">
        <f>D170*'4C2 Open-burning '!$C$10*'4C2 Open-burning '!$C$11*$C$5*D$15</f>
        <v>1.1235449937709243E-2</v>
      </c>
      <c r="AC170" s="487">
        <f>E170*'4C2 Open-burning '!$C$10*'4C2 Open-burning '!$C$11*$C$5*E$15</f>
        <v>6.9046705352534873E-3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2.6994889572566103E-2</v>
      </c>
      <c r="AH170" s="488">
        <f t="shared" si="18"/>
        <v>5.5892759665185338E-2</v>
      </c>
      <c r="AI170" s="1388"/>
      <c r="AJ170" s="1388"/>
      <c r="AK170" s="1388"/>
      <c r="AL170" s="4"/>
      <c r="AM170" s="4"/>
    </row>
    <row r="171" spans="1:39">
      <c r="A171" s="959">
        <f>'Input data'!A132</f>
        <v>2032</v>
      </c>
      <c r="B171" s="560">
        <f>'Recycling - Case 3'!AP112</f>
        <v>4.716975235952417E-2</v>
      </c>
      <c r="C171" s="527">
        <f>$B171*'Recycling - Case 3'!$AK112*'Recycling - Case 3'!BM112</f>
        <v>259.06945825683778</v>
      </c>
      <c r="D171" s="528">
        <f>$B171*'Recycling - Case 3'!$AK112*'Recycling - Case 3'!BN112</f>
        <v>270.57349646022863</v>
      </c>
      <c r="E171" s="528">
        <f>$B171*'Recycling - Case 3'!$AK112*'Recycling - Case 3'!BO112</f>
        <v>73.901835865234403</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288.93078796534752</v>
      </c>
      <c r="J171" s="744">
        <f t="shared" si="19"/>
        <v>892.47557854764841</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0.39039679421512186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9.9542435069821522</v>
      </c>
      <c r="R171" s="1384">
        <f t="shared" si="16"/>
        <v>10.344640301197273</v>
      </c>
      <c r="S171" s="484">
        <f>C171*'4C2 Open-burning '!$C$9*'4C2 Open-burning '!$C$11*$C$5</f>
        <v>1.0103708872016672</v>
      </c>
      <c r="T171" s="485">
        <f>D171*'4C2 Open-burning '!$C$9*'4C2 Open-burning '!$C$11*$C$5</f>
        <v>1.0552366361948915</v>
      </c>
      <c r="U171" s="485">
        <f>E171*'4C2 Open-burning '!$C$9*'4C2 Open-burning '!$C$11*$C$5</f>
        <v>0.28821715987441415</v>
      </c>
      <c r="V171" s="485">
        <f>F171*'4C2 Open-burning '!$C$9*'4C2 Open-burning '!$C$11*$C$5</f>
        <v>0</v>
      </c>
      <c r="W171" s="485">
        <f>G171*'4C2 Open-burning '!$C$9*'4C2 Open-burning '!$C$11*$C$5</f>
        <v>0</v>
      </c>
      <c r="X171" s="485">
        <f>H171*'4C2 Open-burning '!$C$9*'4C2 Open-burning '!$C$11*$C$5</f>
        <v>0</v>
      </c>
      <c r="Y171" s="485">
        <f>I171*'4C2 Open-burning '!$C$9*'4C2 Open-burning '!$C$11*$C$5</f>
        <v>1.1268300730648553</v>
      </c>
      <c r="Z171" s="486">
        <f t="shared" si="17"/>
        <v>3.4806547563358281</v>
      </c>
      <c r="AA171" s="1630">
        <f>C171*'4C2 Open-burning '!$C$10*'4C2 Open-burning '!$C$11*$C$5*C$15</f>
        <v>9.3265004972461606E-3</v>
      </c>
      <c r="AB171" s="487">
        <f>D171*'4C2 Open-burning '!$C$10*'4C2 Open-burning '!$C$11*$C$5*D$15</f>
        <v>9.7406458725682321E-3</v>
      </c>
      <c r="AC171" s="487">
        <f>E171*'4C2 Open-burning '!$C$10*'4C2 Open-burning '!$C$11*$C$5*E$15</f>
        <v>5.9860487050839867E-3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2.3403393825193144E-2</v>
      </c>
      <c r="AH171" s="488">
        <f t="shared" si="18"/>
        <v>4.8456588900091524E-2</v>
      </c>
      <c r="AI171" s="1388"/>
      <c r="AJ171" s="1388"/>
      <c r="AK171" s="1388"/>
      <c r="AL171" s="4"/>
      <c r="AM171" s="4"/>
    </row>
    <row r="172" spans="1:39">
      <c r="A172" s="959">
        <f>'Input data'!A133</f>
        <v>2033</v>
      </c>
      <c r="B172" s="560">
        <f>'Recycling - Case 3'!AP113</f>
        <v>4.6839005041068971E-2</v>
      </c>
      <c r="C172" s="527">
        <f>$B172*'Recycling - Case 3'!$AK113*'Recycling - Case 3'!BM113</f>
        <v>258.30222400703173</v>
      </c>
      <c r="D172" s="528">
        <f>$B172*'Recycling - Case 3'!$AK113*'Recycling - Case 3'!BN113</f>
        <v>269.77219299909945</v>
      </c>
      <c r="E172" s="528">
        <f>$B172*'Recycling - Case 3'!$AK113*'Recycling - Case 3'!BO113</f>
        <v>73.682975564290928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288.07511938194119</v>
      </c>
      <c r="J172" s="744">
        <f t="shared" si="19"/>
        <v>889.83251195236335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0.3892406340349458</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9.9247640129466372</v>
      </c>
      <c r="R172" s="1384">
        <f t="shared" si="16"/>
        <v>10.314004646981584</v>
      </c>
      <c r="S172" s="484">
        <f>C172*'4C2 Open-burning '!$C$9*'4C2 Open-burning '!$C$11*$C$5</f>
        <v>1.0073786736274237</v>
      </c>
      <c r="T172" s="485">
        <f>D172*'4C2 Open-burning '!$C$9*'4C2 Open-burning '!$C$11*$C$5</f>
        <v>1.0521115526964879</v>
      </c>
      <c r="U172" s="485">
        <f>E172*'4C2 Open-burning '!$C$9*'4C2 Open-burning '!$C$11*$C$5</f>
        <v>0.28736360470073463</v>
      </c>
      <c r="V172" s="485">
        <f>F172*'4C2 Open-burning '!$C$9*'4C2 Open-burning '!$C$11*$C$5</f>
        <v>0</v>
      </c>
      <c r="W172" s="485">
        <f>G172*'4C2 Open-burning '!$C$9*'4C2 Open-burning '!$C$11*$C$5</f>
        <v>0</v>
      </c>
      <c r="X172" s="485">
        <f>H172*'4C2 Open-burning '!$C$9*'4C2 Open-burning '!$C$11*$C$5</f>
        <v>0</v>
      </c>
      <c r="Y172" s="485">
        <f>I172*'4C2 Open-burning '!$C$9*'4C2 Open-burning '!$C$11*$C$5</f>
        <v>1.1234929655895707</v>
      </c>
      <c r="Z172" s="486">
        <f t="shared" si="17"/>
        <v>3.4703467966142174</v>
      </c>
      <c r="AA172" s="1630">
        <f>C172*'4C2 Open-burning '!$C$10*'4C2 Open-burning '!$C$11*$C$5*C$15</f>
        <v>9.2988800642531417E-3</v>
      </c>
      <c r="AB172" s="487">
        <f>D172*'4C2 Open-burning '!$C$10*'4C2 Open-burning '!$C$11*$C$5*D$15</f>
        <v>9.7117989479675801E-3</v>
      </c>
      <c r="AC172" s="487">
        <f>E172*'4C2 Open-burning '!$C$10*'4C2 Open-burning '!$C$11*$C$5*E$15</f>
        <v>5.9683210207075645E-3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2.3334084669937236E-2</v>
      </c>
      <c r="AH172" s="488">
        <f t="shared" si="18"/>
        <v>4.8313084702865522E-2</v>
      </c>
      <c r="AI172" s="1388"/>
      <c r="AJ172" s="1388"/>
      <c r="AK172" s="1388"/>
      <c r="AL172" s="4"/>
      <c r="AM172" s="4"/>
    </row>
    <row r="173" spans="1:39">
      <c r="A173" s="959">
        <f>'Input data'!A134</f>
        <v>2034</v>
      </c>
      <c r="B173" s="560">
        <f>'Recycling - Case 3'!AP114</f>
        <v>4.6510529281838998E-2</v>
      </c>
      <c r="C173" s="527">
        <f>$B173*'Recycling - Case 3'!$AK114*'Recycling - Case 3'!BM114</f>
        <v>257.54449434044216</v>
      </c>
      <c r="D173" s="528">
        <f>$B173*'Recycling - Case 3'!$AK114*'Recycling - Case 3'!BN114</f>
        <v>268.98081617436571</v>
      </c>
      <c r="E173" s="528">
        <f>$B173*'Recycling - Case 3'!$AK114*'Recycling - Case 3'!BO114</f>
        <v>73.46682652909665</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287.23005091611145</v>
      </c>
      <c r="J173" s="744">
        <f t="shared" si="19"/>
        <v>887.22218796001607</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0.38809879649566714</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9.8956497141618716</v>
      </c>
      <c r="R173" s="1384">
        <f t="shared" si="16"/>
        <v>10.283748510657539</v>
      </c>
      <c r="S173" s="484">
        <f>C173*'4C2 Open-burning '!$C$9*'4C2 Open-burning '!$C$11*$C$5</f>
        <v>1.0044235279277243</v>
      </c>
      <c r="T173" s="485">
        <f>D173*'4C2 Open-burning '!$C$9*'4C2 Open-burning '!$C$11*$C$5</f>
        <v>1.0490251830800261</v>
      </c>
      <c r="U173" s="485">
        <f>E173*'4C2 Open-burning '!$C$9*'4C2 Open-burning '!$C$11*$C$5</f>
        <v>0.2865206234634769</v>
      </c>
      <c r="V173" s="485">
        <f>F173*'4C2 Open-burning '!$C$9*'4C2 Open-burning '!$C$11*$C$5</f>
        <v>0</v>
      </c>
      <c r="W173" s="485">
        <f>G173*'4C2 Open-burning '!$C$9*'4C2 Open-burning '!$C$11*$C$5</f>
        <v>0</v>
      </c>
      <c r="X173" s="485">
        <f>H173*'4C2 Open-burning '!$C$9*'4C2 Open-burning '!$C$11*$C$5</f>
        <v>0</v>
      </c>
      <c r="Y173" s="485">
        <f>I173*'4C2 Open-burning '!$C$9*'4C2 Open-burning '!$C$11*$C$5</f>
        <v>1.1201971985728347</v>
      </c>
      <c r="Z173" s="486">
        <f t="shared" si="17"/>
        <v>3.4601665330440619</v>
      </c>
      <c r="AA173" s="1630">
        <f>C173*'4C2 Open-burning '!$C$10*'4C2 Open-burning '!$C$11*$C$5*C$15</f>
        <v>9.2716017962559179E-3</v>
      </c>
      <c r="AB173" s="487">
        <f>D173*'4C2 Open-burning '!$C$10*'4C2 Open-burning '!$C$11*$C$5*D$15</f>
        <v>9.6833093822771658E-3</v>
      </c>
      <c r="AC173" s="487">
        <f>E173*'4C2 Open-burning '!$C$10*'4C2 Open-burning '!$C$11*$C$5*E$15</f>
        <v>5.9508129488568288E-3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2.3265634124205029E-2</v>
      </c>
      <c r="AH173" s="488">
        <f t="shared" si="18"/>
        <v>4.8171358251594937E-2</v>
      </c>
      <c r="AI173" s="1388"/>
      <c r="AJ173" s="1388"/>
      <c r="AK173" s="1388"/>
      <c r="AL173" s="4"/>
      <c r="AM173" s="4"/>
    </row>
    <row r="174" spans="1:39">
      <c r="A174" s="959">
        <f>'Input data'!A135</f>
        <v>2035</v>
      </c>
      <c r="B174" s="560">
        <f>'Recycling - Case 3'!AP115</f>
        <v>4.6185440130706287E-2</v>
      </c>
      <c r="C174" s="527">
        <f>$B174*'Recycling - Case 3'!$AK115*'Recycling - Case 3'!BM115</f>
        <v>256.7987475206989</v>
      </c>
      <c r="D174" s="528">
        <f>$B174*'Recycling - Case 3'!$AK115*'Recycling - Case 3'!BN115</f>
        <v>268.20195429751726</v>
      </c>
      <c r="E174" s="528">
        <f>$B174*'Recycling - Case 3'!$AK115*'Recycling - Case 3'!BO115</f>
        <v>73.254095706094532</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286.39834648556661</v>
      </c>
      <c r="J174" s="744">
        <f t="shared" si="19"/>
        <v>884.65314400987722</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0.38697501614084323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9.8669958331207397</v>
      </c>
      <c r="R174" s="1384">
        <f t="shared" si="16"/>
        <v>10.253970849261583</v>
      </c>
      <c r="S174" s="484">
        <f>C174*'4C2 Open-burning '!$C$9*'4C2 Open-burning '!$C$11*$C$5</f>
        <v>1.0015151153307256</v>
      </c>
      <c r="T174" s="485">
        <f>D174*'4C2 Open-burning '!$C$9*'4C2 Open-burning '!$C$11*$C$5</f>
        <v>1.0459876217603172</v>
      </c>
      <c r="U174" s="485">
        <f>E174*'4C2 Open-burning '!$C$9*'4C2 Open-burning '!$C$11*$C$5</f>
        <v>0.28569097325376863</v>
      </c>
      <c r="V174" s="485">
        <f>F174*'4C2 Open-burning '!$C$9*'4C2 Open-burning '!$C$11*$C$5</f>
        <v>0</v>
      </c>
      <c r="W174" s="485">
        <f>G174*'4C2 Open-burning '!$C$9*'4C2 Open-burning '!$C$11*$C$5</f>
        <v>0</v>
      </c>
      <c r="X174" s="485">
        <f>H174*'4C2 Open-burning '!$C$9*'4C2 Open-burning '!$C$11*$C$5</f>
        <v>0</v>
      </c>
      <c r="Y174" s="485">
        <f>I174*'4C2 Open-burning '!$C$9*'4C2 Open-burning '!$C$11*$C$5</f>
        <v>1.1169535512937097</v>
      </c>
      <c r="Z174" s="486">
        <f t="shared" si="17"/>
        <v>3.4501472616385209</v>
      </c>
      <c r="AA174" s="1630">
        <f>C174*'4C2 Open-burning '!$C$10*'4C2 Open-burning '!$C$11*$C$5*C$15</f>
        <v>9.244754910745159E-3</v>
      </c>
      <c r="AB174" s="487">
        <f>D174*'4C2 Open-burning '!$C$10*'4C2 Open-burning '!$C$11*$C$5*D$15</f>
        <v>9.6552703547106225E-3</v>
      </c>
      <c r="AC174" s="487">
        <f>E174*'4C2 Open-burning '!$C$10*'4C2 Open-burning '!$C$11*$C$5*E$15</f>
        <v>5.9335817521936575E-3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2.3198266065330896E-2</v>
      </c>
      <c r="AH174" s="488">
        <f t="shared" si="18"/>
        <v>4.8031873082980334E-2</v>
      </c>
      <c r="AI174" s="1388"/>
      <c r="AJ174" s="1388"/>
      <c r="AK174" s="1388"/>
      <c r="AL174" s="4"/>
      <c r="AM174" s="4"/>
    </row>
    <row r="175" spans="1:39">
      <c r="A175" s="959">
        <f>'Input data'!A136</f>
        <v>2036</v>
      </c>
      <c r="B175" s="560">
        <f>'Recycling - Case 3'!AP116</f>
        <v>4.5908380290142464E-2</v>
      </c>
      <c r="C175" s="527">
        <f>$B175*'Recycling - Case 3'!$AK116*'Recycling - Case 3'!BM116</f>
        <v>256.16646446695256</v>
      </c>
      <c r="D175" s="528">
        <f>$B175*'Recycling - Case 3'!$AK116*'Recycling - Case 3'!BN116</f>
        <v>267.5415945709953</v>
      </c>
      <c r="E175" s="528">
        <f>$B175*'Recycling - Case 3'!$AK116*'Recycling - Case 3'!BO116</f>
        <v>73.073731417796196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285.69318408562464</v>
      </c>
      <c r="J175" s="744">
        <f t="shared" si="19"/>
        <v>882.47497454136874</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0.38602221653690688</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9.8427015781179392</v>
      </c>
      <c r="R175" s="1384">
        <f t="shared" si="16"/>
        <v>10.228723794654845</v>
      </c>
      <c r="S175" s="484">
        <f>C175*'4C2 Open-burning '!$C$9*'4C2 Open-burning '!$C$11*$C$5</f>
        <v>0.99904921142111491</v>
      </c>
      <c r="T175" s="485">
        <f>D175*'4C2 Open-burning '!$C$9*'4C2 Open-burning '!$C$11*$C$5</f>
        <v>1.0434122188268817</v>
      </c>
      <c r="U175" s="485">
        <f>E175*'4C2 Open-burning '!$C$9*'4C2 Open-burning '!$C$11*$C$5</f>
        <v>0.28498755252940516</v>
      </c>
      <c r="V175" s="485">
        <f>F175*'4C2 Open-burning '!$C$9*'4C2 Open-burning '!$C$11*$C$5</f>
        <v>0</v>
      </c>
      <c r="W175" s="485">
        <f>G175*'4C2 Open-burning '!$C$9*'4C2 Open-burning '!$C$11*$C$5</f>
        <v>0</v>
      </c>
      <c r="X175" s="485">
        <f>H175*'4C2 Open-burning '!$C$9*'4C2 Open-burning '!$C$11*$C$5</f>
        <v>0</v>
      </c>
      <c r="Y175" s="485">
        <f>I175*'4C2 Open-burning '!$C$9*'4C2 Open-burning '!$C$11*$C$5</f>
        <v>1.1142034179339362</v>
      </c>
      <c r="Z175" s="486">
        <f t="shared" si="17"/>
        <v>3.4416524007113378</v>
      </c>
      <c r="AA175" s="1630">
        <f>C175*'4C2 Open-burning '!$C$10*'4C2 Open-burning '!$C$11*$C$5*C$15</f>
        <v>9.22199272081029E-3</v>
      </c>
      <c r="AB175" s="487">
        <f>D175*'4C2 Open-burning '!$C$10*'4C2 Open-burning '!$C$11*$C$5*D$15</f>
        <v>9.6314974045558308E-3</v>
      </c>
      <c r="AC175" s="487">
        <f>E175*'4C2 Open-burning '!$C$10*'4C2 Open-burning '!$C$11*$C$5*E$15</f>
        <v>5.9189722448414915E-3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2.3141147910935595E-2</v>
      </c>
      <c r="AH175" s="488">
        <f t="shared" si="18"/>
        <v>4.7913610281143208E-2</v>
      </c>
      <c r="AI175" s="1388"/>
      <c r="AJ175" s="1388"/>
      <c r="AK175" s="1388"/>
      <c r="AL175" s="4"/>
      <c r="AM175" s="4"/>
    </row>
    <row r="176" spans="1:39">
      <c r="A176" s="959">
        <f>'Input data'!A137</f>
        <v>2037</v>
      </c>
      <c r="B176" s="560">
        <f>'Recycling - Case 3'!AP117</f>
        <v>4.5633738337389443E-2</v>
      </c>
      <c r="C176" s="527">
        <f>$B176*'Recycling - Case 3'!$AK117*'Recycling - Case 3'!BM117</f>
        <v>255.54269251053699</v>
      </c>
      <c r="D176" s="528">
        <f>$B176*'Recycling - Case 3'!$AK117*'Recycling - Case 3'!BN117</f>
        <v>266.8901238790163</v>
      </c>
      <c r="E176" s="528">
        <f>$B176*'Recycling - Case 3'!$AK117*'Recycling - Case 3'!BO117</f>
        <v>72.895794994681978</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284.997513804417</v>
      </c>
      <c r="J176" s="744">
        <f t="shared" si="19"/>
        <v>880.32612518865221</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0.38508224247070677</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9.8187343455897729</v>
      </c>
      <c r="R176" s="1384">
        <f t="shared" si="16"/>
        <v>10.20381658806048</v>
      </c>
      <c r="S176" s="484">
        <f>C176*'4C2 Open-burning '!$C$9*'4C2 Open-burning '!$C$11*$C$5</f>
        <v>0.9966165007910941</v>
      </c>
      <c r="T176" s="485">
        <f>D176*'4C2 Open-burning '!$C$9*'4C2 Open-burning '!$C$11*$C$5</f>
        <v>1.0408714831281634</v>
      </c>
      <c r="U176" s="485">
        <f>E176*'4C2 Open-burning '!$C$9*'4C2 Open-burning '!$C$11*$C$5</f>
        <v>0.28429360047925967</v>
      </c>
      <c r="V176" s="485">
        <f>F176*'4C2 Open-burning '!$C$9*'4C2 Open-burning '!$C$11*$C$5</f>
        <v>0</v>
      </c>
      <c r="W176" s="485">
        <f>G176*'4C2 Open-burning '!$C$9*'4C2 Open-burning '!$C$11*$C$5</f>
        <v>0</v>
      </c>
      <c r="X176" s="485">
        <f>H176*'4C2 Open-burning '!$C$9*'4C2 Open-burning '!$C$11*$C$5</f>
        <v>0</v>
      </c>
      <c r="Y176" s="485">
        <f>I176*'4C2 Open-burning '!$C$9*'4C2 Open-burning '!$C$11*$C$5</f>
        <v>1.1114903038372261</v>
      </c>
      <c r="Z176" s="486">
        <f t="shared" si="17"/>
        <v>3.4332718882357431</v>
      </c>
      <c r="AA176" s="1630">
        <f>C176*'4C2 Open-burning '!$C$10*'4C2 Open-burning '!$C$11*$C$5*C$15</f>
        <v>9.1995369303793321E-3</v>
      </c>
      <c r="AB176" s="487">
        <f>D176*'4C2 Open-burning '!$C$10*'4C2 Open-burning '!$C$11*$C$5*D$15</f>
        <v>9.6080444596445876E-3</v>
      </c>
      <c r="AC176" s="487">
        <f>E176*'4C2 Open-burning '!$C$10*'4C2 Open-burning '!$C$11*$C$5*E$15</f>
        <v>5.9045593945692395E-3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2.3084798618157775E-2</v>
      </c>
      <c r="AH176" s="488">
        <f t="shared" si="18"/>
        <v>4.7796939402750933E-2</v>
      </c>
      <c r="AI176" s="1388"/>
      <c r="AJ176" s="1388"/>
      <c r="AK176" s="1388"/>
      <c r="AL176" s="4"/>
      <c r="AM176" s="4"/>
    </row>
    <row r="177" spans="1:39">
      <c r="A177" s="959">
        <f>'Input data'!A138</f>
        <v>2038</v>
      </c>
      <c r="B177" s="560">
        <f>'Recycling - Case 3'!AP118</f>
        <v>4.5360424217666818E-2</v>
      </c>
      <c r="C177" s="527">
        <f>$B177*'Recycling - Case 3'!$AK118*'Recycling - Case 3'!BM118</f>
        <v>254.9249030818319</v>
      </c>
      <c r="D177" s="528">
        <f>$B177*'Recycling - Case 3'!$AK118*'Recycling - Case 3'!BN118</f>
        <v>266.24490137025117</v>
      </c>
      <c r="E177" s="528">
        <f>$B177*'Recycling - Case 3'!$AK118*'Recycling - Case 3'!BO118</f>
        <v>72.719565140083773</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284.30851561978551</v>
      </c>
      <c r="J177" s="744">
        <f t="shared" si="19"/>
        <v>878.19788521195233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0.38415128359161216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9.7949969801328489</v>
      </c>
      <c r="R177" s="1384">
        <f t="shared" si="16"/>
        <v>10.179148263724461</v>
      </c>
      <c r="S177" s="484">
        <f>C177*'4C2 Open-burning '!$C$9*'4C2 Open-burning '!$C$11*$C$5</f>
        <v>0.99420712201914441</v>
      </c>
      <c r="T177" s="485">
        <f>D177*'4C2 Open-burning '!$C$9*'4C2 Open-burning '!$C$11*$C$5</f>
        <v>1.0383551153439794</v>
      </c>
      <c r="U177" s="485">
        <f>E177*'4C2 Open-burning '!$C$9*'4C2 Open-burning '!$C$11*$C$5</f>
        <v>0.2836063040463267</v>
      </c>
      <c r="V177" s="485">
        <f>F177*'4C2 Open-burning '!$C$9*'4C2 Open-burning '!$C$11*$C$5</f>
        <v>0</v>
      </c>
      <c r="W177" s="485">
        <f>G177*'4C2 Open-burning '!$C$9*'4C2 Open-burning '!$C$11*$C$5</f>
        <v>0</v>
      </c>
      <c r="X177" s="485">
        <f>H177*'4C2 Open-burning '!$C$9*'4C2 Open-burning '!$C$11*$C$5</f>
        <v>0</v>
      </c>
      <c r="Y177" s="485">
        <f>I177*'4C2 Open-burning '!$C$9*'4C2 Open-burning '!$C$11*$C$5</f>
        <v>1.1088032109171635</v>
      </c>
      <c r="Z177" s="486">
        <f t="shared" si="17"/>
        <v>3.4249717523266137</v>
      </c>
      <c r="AA177" s="1630">
        <f>C177*'4C2 Open-burning '!$C$10*'4C2 Open-burning '!$C$11*$C$5*C$15</f>
        <v>9.1772965109459485E-3</v>
      </c>
      <c r="AB177" s="487">
        <f>D177*'4C2 Open-burning '!$C$10*'4C2 Open-burning '!$C$11*$C$5*D$15</f>
        <v>9.5848164493290422E-3</v>
      </c>
      <c r="AC177" s="487">
        <f>E177*'4C2 Open-burning '!$C$10*'4C2 Open-burning '!$C$11*$C$5*E$15</f>
        <v>5.8902847763467854E-3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2.3028989765202627E-2</v>
      </c>
      <c r="AH177" s="488">
        <f t="shared" si="18"/>
        <v>4.76813875018244E-2</v>
      </c>
      <c r="AI177" s="1388"/>
      <c r="AJ177" s="1388"/>
      <c r="AK177" s="1388"/>
      <c r="AL177" s="4"/>
      <c r="AM177" s="4"/>
    </row>
    <row r="178" spans="1:39">
      <c r="A178" s="959">
        <f>'Input data'!A139</f>
        <v>2039</v>
      </c>
      <c r="B178" s="560">
        <f>'Recycling - Case 3'!AP119</f>
        <v>4.5089498745665688E-2</v>
      </c>
      <c r="C178" s="527">
        <f>$B178*'Recycling - Case 3'!$AK119*'Recycling - Case 3'!BM119</f>
        <v>254.31544156813479</v>
      </c>
      <c r="D178" s="528">
        <f>$B178*'Recycling - Case 3'!$AK119*'Recycling - Case 3'!BN119</f>
        <v>265.60837657945359</v>
      </c>
      <c r="E178" s="528">
        <f>$B178*'Recycling - Case 3'!$AK119*'Recycling - Case 3'!BO119</f>
        <v>72.545710896304996</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283.62880525727536</v>
      </c>
      <c r="J178" s="744">
        <f t="shared" si="19"/>
        <v>876.09833430116873</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0.38323287420925661</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9.7715795987236493</v>
      </c>
      <c r="R178" s="1384">
        <f t="shared" si="16"/>
        <v>10.154812472932907</v>
      </c>
      <c r="S178" s="484">
        <f>C178*'4C2 Open-burning '!$C$9*'4C2 Open-burning '!$C$11*$C$5</f>
        <v>0.99183022211572558</v>
      </c>
      <c r="T178" s="485">
        <f>D178*'4C2 Open-burning '!$C$9*'4C2 Open-burning '!$C$11*$C$5</f>
        <v>1.0358726686598689</v>
      </c>
      <c r="U178" s="485">
        <f>E178*'4C2 Open-burning '!$C$9*'4C2 Open-burning '!$C$11*$C$5</f>
        <v>0.28292827249558944</v>
      </c>
      <c r="V178" s="485">
        <f>F178*'4C2 Open-burning '!$C$9*'4C2 Open-burning '!$C$11*$C$5</f>
        <v>0</v>
      </c>
      <c r="W178" s="485">
        <f>G178*'4C2 Open-burning '!$C$9*'4C2 Open-burning '!$C$11*$C$5</f>
        <v>0</v>
      </c>
      <c r="X178" s="485">
        <f>H178*'4C2 Open-burning '!$C$9*'4C2 Open-burning '!$C$11*$C$5</f>
        <v>0</v>
      </c>
      <c r="Y178" s="485">
        <f>I178*'4C2 Open-burning '!$C$9*'4C2 Open-burning '!$C$11*$C$5</f>
        <v>1.1061523405033737</v>
      </c>
      <c r="Z178" s="486">
        <f t="shared" si="17"/>
        <v>3.4167835037745573</v>
      </c>
      <c r="AA178" s="1630">
        <f>C178*'4C2 Open-burning '!$C$10*'4C2 Open-burning '!$C$11*$C$5*C$15</f>
        <v>9.1553558964528516E-3</v>
      </c>
      <c r="AB178" s="487">
        <f>D178*'4C2 Open-burning '!$C$10*'4C2 Open-burning '!$C$11*$C$5*D$15</f>
        <v>9.5619015568603281E-3</v>
      </c>
      <c r="AC178" s="487">
        <f>E178*'4C2 Open-burning '!$C$10*'4C2 Open-burning '!$C$11*$C$5*E$15</f>
        <v>5.8762025826007043E-3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2.2973933225839304E-2</v>
      </c>
      <c r="AH178" s="488">
        <f t="shared" si="18"/>
        <v>4.7567393261753188E-2</v>
      </c>
      <c r="AI178" s="1388"/>
      <c r="AJ178" s="1388"/>
      <c r="AK178" s="1388"/>
      <c r="AL178" s="4"/>
      <c r="AM178" s="4"/>
    </row>
    <row r="179" spans="1:39">
      <c r="A179" s="959">
        <f>'Input data'!A140</f>
        <v>2040</v>
      </c>
      <c r="B179" s="560">
        <f>'Recycling - Case 3'!AP120</f>
        <v>4.4820931833859719E-2</v>
      </c>
      <c r="C179" s="527">
        <f>$B179*'Recycling - Case 3'!$AK120*'Recycling - Case 3'!BM120</f>
        <v>253.71417110500096</v>
      </c>
      <c r="D179" s="528">
        <f>$B179*'Recycling - Case 3'!$AK120*'Recycling - Case 3'!BN120</f>
        <v>264.98040656468214</v>
      </c>
      <c r="E179" s="528">
        <f>$B179*'Recycling - Case 3'!$AK120*'Recycling - Case 3'!BO120</f>
        <v>72.374193221562038</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282.95823007692616</v>
      </c>
      <c r="J179" s="744">
        <f t="shared" si="19"/>
        <v>874.02700096817125</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0.38232680807995245</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9.7484769426102584</v>
      </c>
      <c r="R179" s="1384">
        <f t="shared" si="16"/>
        <v>10.130803750690211</v>
      </c>
      <c r="S179" s="484">
        <f>C179*'4C2 Open-burning '!$C$9*'4C2 Open-burning '!$C$11*$C$5</f>
        <v>0.98948526730950359</v>
      </c>
      <c r="T179" s="485">
        <f>D179*'4C2 Open-burning '!$C$9*'4C2 Open-burning '!$C$11*$C$5</f>
        <v>1.0334235856022604</v>
      </c>
      <c r="U179" s="485">
        <f>E179*'4C2 Open-burning '!$C$9*'4C2 Open-burning '!$C$11*$C$5</f>
        <v>0.28225935356409193</v>
      </c>
      <c r="V179" s="485">
        <f>F179*'4C2 Open-burning '!$C$9*'4C2 Open-burning '!$C$11*$C$5</f>
        <v>0</v>
      </c>
      <c r="W179" s="485">
        <f>G179*'4C2 Open-burning '!$C$9*'4C2 Open-burning '!$C$11*$C$5</f>
        <v>0</v>
      </c>
      <c r="X179" s="485">
        <f>H179*'4C2 Open-burning '!$C$9*'4C2 Open-burning '!$C$11*$C$5</f>
        <v>0</v>
      </c>
      <c r="Y179" s="485">
        <f>I179*'4C2 Open-burning '!$C$9*'4C2 Open-burning '!$C$11*$C$5</f>
        <v>1.103537097300012</v>
      </c>
      <c r="Z179" s="486">
        <f t="shared" si="17"/>
        <v>3.4087053037758679</v>
      </c>
      <c r="AA179" s="1630">
        <f>C179*'4C2 Open-burning '!$C$10*'4C2 Open-burning '!$C$11*$C$5*C$15</f>
        <v>9.1337101597800327E-3</v>
      </c>
      <c r="AB179" s="487">
        <f>D179*'4C2 Open-burning '!$C$10*'4C2 Open-burning '!$C$11*$C$5*D$15</f>
        <v>9.5392946363285561E-3</v>
      </c>
      <c r="AC179" s="487">
        <f>E179*'4C2 Open-burning '!$C$10*'4C2 Open-burning '!$C$11*$C$5*E$15</f>
        <v>5.8623096509465246E-3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2.291961663623102E-2</v>
      </c>
      <c r="AH179" s="488">
        <f t="shared" si="18"/>
        <v>4.7454931083286134E-2</v>
      </c>
      <c r="AI179" s="1388"/>
      <c r="AJ179" s="1388"/>
      <c r="AK179" s="1388"/>
      <c r="AL179" s="4"/>
      <c r="AM179" s="4"/>
    </row>
    <row r="180" spans="1:39">
      <c r="A180" s="959">
        <f>'Input data'!A141</f>
        <v>2041</v>
      </c>
      <c r="B180" s="560">
        <f>'Recycling - Case 3'!AP121</f>
        <v>4.4593800336556862E-2</v>
      </c>
      <c r="C180" s="527">
        <f>$B180*'Recycling - Case 3'!$AK121*'Recycling - Case 3'!BM121</f>
        <v>253.20791411507491</v>
      </c>
      <c r="D180" s="528">
        <f>$B180*'Recycling - Case 3'!$AK121*'Recycling - Case 3'!BN121</f>
        <v>264.45166911800123</v>
      </c>
      <c r="E180" s="528">
        <f>$B180*'Recycling - Case 3'!$AK121*'Recycling - Case 3'!BO121</f>
        <v>72.229778973634552</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282.39361998356935</v>
      </c>
      <c r="J180" s="744">
        <f t="shared" si="19"/>
        <v>872.28298219027999</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0.38156391959728081</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9.7290249956739299</v>
      </c>
      <c r="R180" s="1384">
        <f t="shared" si="16"/>
        <v>10.11058891527121</v>
      </c>
      <c r="S180" s="484">
        <f>C180*'4C2 Open-burning '!$C$9*'4C2 Open-burning '!$C$11*$C$5</f>
        <v>0.98751086504879204</v>
      </c>
      <c r="T180" s="485">
        <f>D180*'4C2 Open-burning '!$C$9*'4C2 Open-burning '!$C$11*$C$5</f>
        <v>1.0313615095602047</v>
      </c>
      <c r="U180" s="485">
        <f>E180*'4C2 Open-burning '!$C$9*'4C2 Open-burning '!$C$11*$C$5</f>
        <v>0.28169613799717474</v>
      </c>
      <c r="V180" s="485">
        <f>F180*'4C2 Open-burning '!$C$9*'4C2 Open-burning '!$C$11*$C$5</f>
        <v>0</v>
      </c>
      <c r="W180" s="485">
        <f>G180*'4C2 Open-burning '!$C$9*'4C2 Open-burning '!$C$11*$C$5</f>
        <v>0</v>
      </c>
      <c r="X180" s="485">
        <f>H180*'4C2 Open-burning '!$C$9*'4C2 Open-burning '!$C$11*$C$5</f>
        <v>0</v>
      </c>
      <c r="Y180" s="485">
        <f>I180*'4C2 Open-burning '!$C$9*'4C2 Open-burning '!$C$11*$C$5</f>
        <v>1.1013351179359203</v>
      </c>
      <c r="Z180" s="486">
        <f t="shared" si="17"/>
        <v>3.4019036305420918</v>
      </c>
      <c r="AA180" s="1630">
        <f>C180*'4C2 Open-burning '!$C$10*'4C2 Open-burning '!$C$11*$C$5*C$15</f>
        <v>9.1154849081426965E-3</v>
      </c>
      <c r="AB180" s="487">
        <f>D180*'4C2 Open-burning '!$C$10*'4C2 Open-burning '!$C$11*$C$5*D$15</f>
        <v>9.5202600882480434E-3</v>
      </c>
      <c r="AC180" s="487">
        <f>E180*'4C2 Open-burning '!$C$10*'4C2 Open-burning '!$C$11*$C$5*E$15</f>
        <v>5.8506120968643983E-3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2.2873883218669119E-2</v>
      </c>
      <c r="AH180" s="488">
        <f t="shared" si="18"/>
        <v>4.7360240311924262E-2</v>
      </c>
      <c r="AI180" s="1388"/>
      <c r="AJ180" s="1388"/>
      <c r="AK180" s="1388"/>
      <c r="AL180" s="4"/>
      <c r="AM180" s="4"/>
    </row>
    <row r="181" spans="1:39">
      <c r="A181" s="959">
        <f>'Input data'!A142</f>
        <v>2042</v>
      </c>
      <c r="B181" s="560">
        <f>'Recycling - Case 3'!AP122</f>
        <v>4.4368434357896787E-2</v>
      </c>
      <c r="C181" s="527">
        <f>$B181*'Recycling - Case 3'!$AK122*'Recycling - Case 3'!BM122</f>
        <v>252.70763235510591</v>
      </c>
      <c r="D181" s="528">
        <f>$B181*'Recycling - Case 3'!$AK122*'Recycling - Case 3'!BN122</f>
        <v>263.92917223272235</v>
      </c>
      <c r="E181" s="528">
        <f>$B181*'Recycling - Case 3'!$AK122*'Recycling - Case 3'!BO122</f>
        <v>72.087069212474873</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281.83567384786841</v>
      </c>
      <c r="J181" s="744">
        <f t="shared" si="19"/>
        <v>870.55954764817147</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0.38081003530458823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9.7098026354067617</v>
      </c>
      <c r="R181" s="1384">
        <f t="shared" si="16"/>
        <v>10.09061267071135</v>
      </c>
      <c r="S181" s="484">
        <f>C181*'4C2 Open-burning '!$C$9*'4C2 Open-burning '!$C$11*$C$5</f>
        <v>0.98555976618491292</v>
      </c>
      <c r="T181" s="485">
        <f>D181*'4C2 Open-burning '!$C$9*'4C2 Open-burning '!$C$11*$C$5</f>
        <v>1.0293237717076171</v>
      </c>
      <c r="U181" s="485">
        <f>E181*'4C2 Open-burning '!$C$9*'4C2 Open-burning '!$C$11*$C$5</f>
        <v>0.28113956992865197</v>
      </c>
      <c r="V181" s="485">
        <f>F181*'4C2 Open-burning '!$C$9*'4C2 Open-burning '!$C$11*$C$5</f>
        <v>0</v>
      </c>
      <c r="W181" s="485">
        <f>G181*'4C2 Open-burning '!$C$9*'4C2 Open-burning '!$C$11*$C$5</f>
        <v>0</v>
      </c>
      <c r="X181" s="485">
        <f>H181*'4C2 Open-burning '!$C$9*'4C2 Open-burning '!$C$11*$C$5</f>
        <v>0</v>
      </c>
      <c r="Y181" s="485">
        <f>I181*'4C2 Open-burning '!$C$9*'4C2 Open-burning '!$C$11*$C$5</f>
        <v>1.0991591280066866</v>
      </c>
      <c r="Z181" s="486">
        <f t="shared" si="17"/>
        <v>3.3951822358278685</v>
      </c>
      <c r="AA181" s="1630">
        <f>C181*'4C2 Open-burning '!$C$10*'4C2 Open-burning '!$C$11*$C$5*C$15</f>
        <v>9.0974747647838139E-3</v>
      </c>
      <c r="AB181" s="487">
        <f>D181*'4C2 Open-burning '!$C$10*'4C2 Open-burning '!$C$11*$C$5*D$15</f>
        <v>9.5014502003780039E-3</v>
      </c>
      <c r="AC181" s="487">
        <f>E181*'4C2 Open-burning '!$C$10*'4C2 Open-burning '!$C$11*$C$5*E$15</f>
        <v>5.8390526062104655E-3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2.2828689581677341E-2</v>
      </c>
      <c r="AH181" s="488">
        <f t="shared" si="18"/>
        <v>4.7266667153049627E-2</v>
      </c>
      <c r="AI181" s="1388"/>
      <c r="AJ181" s="1388"/>
      <c r="AK181" s="1388"/>
      <c r="AL181" s="4"/>
      <c r="AM181" s="4"/>
    </row>
    <row r="182" spans="1:39">
      <c r="A182" s="959">
        <f>'Input data'!A143</f>
        <v>2043</v>
      </c>
      <c r="B182" s="560">
        <f>'Recycling - Case 3'!AP123</f>
        <v>4.4144316683521728E-2</v>
      </c>
      <c r="C182" s="527">
        <f>$B182*'Recycling - Case 3'!$AK123*'Recycling - Case 3'!BM123</f>
        <v>252.21214088531019</v>
      </c>
      <c r="D182" s="528">
        <f>$B182*'Recycling - Case 3'!$AK123*'Recycling - Case 3'!BN123</f>
        <v>263.41167835154113</v>
      </c>
      <c r="E182" s="528">
        <f>$B182*'Recycling - Case 3'!$AK123*'Recycling - Case 3'!BO123</f>
        <v>71.945725923613836</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281.28307014937974</v>
      </c>
      <c r="J182" s="744">
        <f t="shared" si="19"/>
        <v>868.85261530984485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0.38006336959311937</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9.6907643327864292</v>
      </c>
      <c r="R182" s="1384">
        <f t="shared" si="16"/>
        <v>10.070827702379548</v>
      </c>
      <c r="S182" s="484">
        <f>C182*'4C2 Open-burning '!$C$9*'4C2 Open-burning '!$C$11*$C$5</f>
        <v>0.98362734945270958</v>
      </c>
      <c r="T182" s="485">
        <f>D182*'4C2 Open-burning '!$C$9*'4C2 Open-burning '!$C$11*$C$5</f>
        <v>1.0273055455710103</v>
      </c>
      <c r="U182" s="485">
        <f>E182*'4C2 Open-burning '!$C$9*'4C2 Open-burning '!$C$11*$C$5</f>
        <v>0.28058833110209391</v>
      </c>
      <c r="V182" s="485">
        <f>F182*'4C2 Open-burning '!$C$9*'4C2 Open-burning '!$C$11*$C$5</f>
        <v>0</v>
      </c>
      <c r="W182" s="485">
        <f>G182*'4C2 Open-burning '!$C$9*'4C2 Open-burning '!$C$11*$C$5</f>
        <v>0</v>
      </c>
      <c r="X182" s="485">
        <f>H182*'4C2 Open-burning '!$C$9*'4C2 Open-burning '!$C$11*$C$5</f>
        <v>0</v>
      </c>
      <c r="Y182" s="485">
        <f>I182*'4C2 Open-burning '!$C$9*'4C2 Open-burning '!$C$11*$C$5</f>
        <v>1.0970039735825809</v>
      </c>
      <c r="Z182" s="486">
        <f t="shared" si="17"/>
        <v>3.3885251997083952</v>
      </c>
      <c r="AA182" s="1630">
        <f>C182*'4C2 Open-burning '!$C$10*'4C2 Open-burning '!$C$11*$C$5*C$15</f>
        <v>9.0796370718711668E-3</v>
      </c>
      <c r="AB182" s="487">
        <f>D182*'4C2 Open-burning '!$C$10*'4C2 Open-burning '!$C$11*$C$5*D$15</f>
        <v>9.4828204206554804E-3</v>
      </c>
      <c r="AC182" s="487">
        <f>E182*'4C2 Open-burning '!$C$10*'4C2 Open-burning '!$C$11*$C$5*E$15</f>
        <v>5.8276037998127202E-3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2.2783928682099757E-2</v>
      </c>
      <c r="AH182" s="488">
        <f t="shared" si="18"/>
        <v>4.7173989974439126E-2</v>
      </c>
      <c r="AI182" s="1388"/>
      <c r="AJ182" s="1388"/>
      <c r="AK182" s="1388"/>
      <c r="AL182" s="4"/>
      <c r="AM182" s="4"/>
    </row>
    <row r="183" spans="1:39">
      <c r="A183" s="959">
        <f>'Input data'!A144</f>
        <v>2044</v>
      </c>
      <c r="B183" s="560">
        <f>'Recycling - Case 3'!AP124</f>
        <v>4.3921934688623487E-2</v>
      </c>
      <c r="C183" s="527">
        <f>$B183*'Recycling - Case 3'!$AK124*'Recycling - Case 3'!BM124</f>
        <v>251.72248085214491</v>
      </c>
      <c r="D183" s="528">
        <f>$B183*'Recycling - Case 3'!$AK124*'Recycling - Case 3'!BN124</f>
        <v>262.90027485325993</v>
      </c>
      <c r="E183" s="528">
        <f>$B183*'Recycling - Case 3'!$AK124*'Recycling - Case 3'!BO124</f>
        <v>71.806046103212665</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280.73697004105543</v>
      </c>
      <c r="J183" s="744">
        <f t="shared" si="19"/>
        <v>867.16577184967298</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0.37932549138667537</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9.6719500918544412</v>
      </c>
      <c r="R183" s="1384">
        <f t="shared" si="16"/>
        <v>10.051275583241116</v>
      </c>
      <c r="S183" s="484">
        <f>C183*'4C2 Open-burning '!$C$9*'4C2 Open-burning '!$C$11*$C$5</f>
        <v>0.98171767532336507</v>
      </c>
      <c r="T183" s="485">
        <f>D183*'4C2 Open-burning '!$C$9*'4C2 Open-burning '!$C$11*$C$5</f>
        <v>1.0253110719277136</v>
      </c>
      <c r="U183" s="485">
        <f>E183*'4C2 Open-burning '!$C$9*'4C2 Open-burning '!$C$11*$C$5</f>
        <v>0.28004357980252942</v>
      </c>
      <c r="V183" s="485">
        <f>F183*'4C2 Open-burning '!$C$9*'4C2 Open-burning '!$C$11*$C$5</f>
        <v>0</v>
      </c>
      <c r="W183" s="485">
        <f>G183*'4C2 Open-burning '!$C$9*'4C2 Open-burning '!$C$11*$C$5</f>
        <v>0</v>
      </c>
      <c r="X183" s="485">
        <f>H183*'4C2 Open-burning '!$C$9*'4C2 Open-burning '!$C$11*$C$5</f>
        <v>0</v>
      </c>
      <c r="Y183" s="485">
        <f>I183*'4C2 Open-burning '!$C$9*'4C2 Open-burning '!$C$11*$C$5</f>
        <v>1.0948741831601161</v>
      </c>
      <c r="Z183" s="486">
        <f t="shared" si="17"/>
        <v>3.3819465102137247</v>
      </c>
      <c r="AA183" s="1630">
        <f>C183*'4C2 Open-burning '!$C$10*'4C2 Open-burning '!$C$11*$C$5*C$15</f>
        <v>9.0620093106772142E-3</v>
      </c>
      <c r="AB183" s="487">
        <f>D183*'4C2 Open-burning '!$C$10*'4C2 Open-burning '!$C$11*$C$5*D$15</f>
        <v>9.4644098947173558E-3</v>
      </c>
      <c r="AC183" s="487">
        <f>E183*'4C2 Open-burning '!$C$10*'4C2 Open-burning '!$C$11*$C$5*E$15</f>
        <v>5.8162897343602251E-3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2.2739694573325486E-2</v>
      </c>
      <c r="AH183" s="488">
        <f t="shared" si="18"/>
        <v>4.7082403513080281E-2</v>
      </c>
      <c r="AI183" s="1388"/>
      <c r="AJ183" s="1388"/>
      <c r="AK183" s="1388"/>
      <c r="AL183" s="4"/>
      <c r="AM183" s="4"/>
    </row>
    <row r="184" spans="1:39">
      <c r="A184" s="959">
        <f>'Input data'!A145</f>
        <v>2045</v>
      </c>
      <c r="B184" s="560">
        <f>'Recycling - Case 3'!AP125</f>
        <v>4.3700299357032943E-2</v>
      </c>
      <c r="C184" s="527">
        <f>$B184*'Recycling - Case 3'!$AK125*'Recycling - Case 3'!BM125</f>
        <v>251.23644491049265</v>
      </c>
      <c r="D184" s="528">
        <f>$B184*'Recycling - Case 3'!$AK125*'Recycling - Case 3'!BN125</f>
        <v>262.39265637509948</v>
      </c>
      <c r="E184" s="528">
        <f>$B184*'Recycling - Case 3'!$AK125*'Recycling - Case 3'!BO125</f>
        <v>71.667400086710856</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280.19491175079628</v>
      </c>
      <c r="J184" s="744">
        <f t="shared" si="19"/>
        <v>865.49141312309916</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0.37859307439406226</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9.6532750996384333</v>
      </c>
      <c r="R184" s="1384">
        <f t="shared" si="16"/>
        <v>10.031868174032496</v>
      </c>
      <c r="S184" s="484">
        <f>C184*'4C2 Open-burning '!$C$9*'4C2 Open-burning '!$C$11*$C$5</f>
        <v>0.9798221351509212</v>
      </c>
      <c r="T184" s="485">
        <f>D184*'4C2 Open-burning '!$C$9*'4C2 Open-burning '!$C$11*$C$5</f>
        <v>1.0233313598628879</v>
      </c>
      <c r="U184" s="485">
        <f>E184*'4C2 Open-burning '!$C$9*'4C2 Open-burning '!$C$11*$C$5</f>
        <v>0.27950286033817234</v>
      </c>
      <c r="V184" s="485">
        <f>F184*'4C2 Open-burning '!$C$9*'4C2 Open-burning '!$C$11*$C$5</f>
        <v>0</v>
      </c>
      <c r="W184" s="485">
        <f>G184*'4C2 Open-burning '!$C$9*'4C2 Open-burning '!$C$11*$C$5</f>
        <v>0</v>
      </c>
      <c r="X184" s="485">
        <f>H184*'4C2 Open-burning '!$C$9*'4C2 Open-burning '!$C$11*$C$5</f>
        <v>0</v>
      </c>
      <c r="Y184" s="485">
        <f>I184*'4C2 Open-burning '!$C$9*'4C2 Open-burning '!$C$11*$C$5</f>
        <v>1.0927601558281055</v>
      </c>
      <c r="Z184" s="486">
        <f t="shared" si="17"/>
        <v>3.3754165111800871</v>
      </c>
      <c r="AA184" s="1630">
        <f>C184*'4C2 Open-burning '!$C$10*'4C2 Open-burning '!$C$11*$C$5*C$15</f>
        <v>9.0445120167777348E-3</v>
      </c>
      <c r="AB184" s="487">
        <f>D184*'4C2 Open-burning '!$C$10*'4C2 Open-burning '!$C$11*$C$5*D$15</f>
        <v>9.4461356295035808E-3</v>
      </c>
      <c r="AC184" s="487">
        <f>E184*'4C2 Open-burning '!$C$10*'4C2 Open-burning '!$C$11*$C$5*E$15</f>
        <v>5.8050594070235785E-3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2.2695787851814496E-2</v>
      </c>
      <c r="AH184" s="488">
        <f t="shared" si="18"/>
        <v>4.6991494905119391E-2</v>
      </c>
      <c r="AI184" s="1388"/>
      <c r="AJ184" s="1388"/>
      <c r="AK184" s="1388"/>
      <c r="AL184" s="4"/>
      <c r="AM184" s="4"/>
    </row>
    <row r="185" spans="1:39">
      <c r="A185" s="959">
        <f>'Input data'!A146</f>
        <v>2046</v>
      </c>
      <c r="B185" s="560">
        <f>'Recycling - Case 3'!AP126</f>
        <v>4.3519645881138408E-2</v>
      </c>
      <c r="C185" s="527">
        <f>$B185*'Recycling - Case 3'!$AK126*'Recycling - Case 3'!BM126</f>
        <v>250.84174496234101</v>
      </c>
      <c r="D185" s="528">
        <f>$B185*'Recycling - Case 3'!$AK126*'Recycling - Case 3'!BN126</f>
        <v>261.98042968599981</v>
      </c>
      <c r="E185" s="528">
        <f>$B185*'Recycling - Case 3'!$AK126*'Recycling - Case 3'!BO126</f>
        <v>71.554808463674377</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279.75471718754414</v>
      </c>
      <c r="J185" s="744">
        <f t="shared" si="19"/>
        <v>864.13170029955927</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0.37799829338254481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9.6381095165452706</v>
      </c>
      <c r="R185" s="1384">
        <f t="shared" si="16"/>
        <v>10.016107809927815</v>
      </c>
      <c r="S185" s="484">
        <f>C185*'4C2 Open-burning '!$C$9*'4C2 Open-burning '!$C$11*$C$5</f>
        <v>0.97828280535312984</v>
      </c>
      <c r="T185" s="485">
        <f>D185*'4C2 Open-burning '!$C$9*'4C2 Open-burning '!$C$11*$C$5</f>
        <v>1.0217236757753994</v>
      </c>
      <c r="U185" s="485">
        <f>E185*'4C2 Open-burning '!$C$9*'4C2 Open-burning '!$C$11*$C$5</f>
        <v>0.27906375300833003</v>
      </c>
      <c r="V185" s="485">
        <f>F185*'4C2 Open-burning '!$C$9*'4C2 Open-burning '!$C$11*$C$5</f>
        <v>0</v>
      </c>
      <c r="W185" s="485">
        <f>G185*'4C2 Open-burning '!$C$9*'4C2 Open-burning '!$C$11*$C$5</f>
        <v>0</v>
      </c>
      <c r="X185" s="485">
        <f>H185*'4C2 Open-burning '!$C$9*'4C2 Open-burning '!$C$11*$C$5</f>
        <v>0</v>
      </c>
      <c r="Y185" s="485">
        <f>I185*'4C2 Open-burning '!$C$9*'4C2 Open-burning '!$C$11*$C$5</f>
        <v>1.0910433970314222</v>
      </c>
      <c r="Z185" s="486">
        <f t="shared" si="17"/>
        <v>3.3701136311682811</v>
      </c>
      <c r="AA185" s="1630">
        <f>C185*'4C2 Open-burning '!$C$10*'4C2 Open-burning '!$C$11*$C$5*C$15</f>
        <v>9.0303028186442744E-3</v>
      </c>
      <c r="AB185" s="487">
        <f>D185*'4C2 Open-burning '!$C$10*'4C2 Open-burning '!$C$11*$C$5*D$15</f>
        <v>9.4312954686959927E-3</v>
      </c>
      <c r="AC185" s="487">
        <f>E185*'4C2 Open-burning '!$C$10*'4C2 Open-burning '!$C$11*$C$5*E$15</f>
        <v>5.7959394855576244E-3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2.2660132092191077E-2</v>
      </c>
      <c r="AH185" s="488">
        <f t="shared" si="18"/>
        <v>4.6917669865088968E-2</v>
      </c>
      <c r="AI185" s="1388"/>
      <c r="AJ185" s="1388"/>
      <c r="AK185" s="1388"/>
      <c r="AL185" s="4"/>
      <c r="AM185" s="4"/>
    </row>
    <row r="186" spans="1:39">
      <c r="A186" s="959">
        <f>'Input data'!A147</f>
        <v>2047</v>
      </c>
      <c r="B186" s="560">
        <f>'Recycling - Case 3'!AP127</f>
        <v>4.3339354518621344E-2</v>
      </c>
      <c r="C186" s="527">
        <f>$B186*'Recycling - Case 3'!$AK127*'Recycling - Case 3'!BM127</f>
        <v>250.44914971600065</v>
      </c>
      <c r="D186" s="528">
        <f>$B186*'Recycling - Case 3'!$AK127*'Recycling - Case 3'!BN127</f>
        <v>261.57040115847394</v>
      </c>
      <c r="E186" s="528">
        <f>$B186*'Recycling - Case 3'!$AK127*'Recycling - Case 3'!BO127</f>
        <v>71.442817225294775</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279.31686992202771</v>
      </c>
      <c r="J186" s="744">
        <f t="shared" si="19"/>
        <v>862.77923802179703</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0.3774066839870312</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9.6230248025536973</v>
      </c>
      <c r="R186" s="1384">
        <f t="shared" si="16"/>
        <v>10.000431486540728</v>
      </c>
      <c r="S186" s="484">
        <f>C186*'4C2 Open-burning '!$C$9*'4C2 Open-burning '!$C$11*$C$5</f>
        <v>0.97675168389240241</v>
      </c>
      <c r="T186" s="485">
        <f>D186*'4C2 Open-burning '!$C$9*'4C2 Open-burning '!$C$11*$C$5</f>
        <v>1.0201245645180483</v>
      </c>
      <c r="U186" s="485">
        <f>E186*'4C2 Open-burning '!$C$9*'4C2 Open-burning '!$C$11*$C$5</f>
        <v>0.27862698717864959</v>
      </c>
      <c r="V186" s="485">
        <f>F186*'4C2 Open-burning '!$C$9*'4C2 Open-burning '!$C$11*$C$5</f>
        <v>0</v>
      </c>
      <c r="W186" s="485">
        <f>G186*'4C2 Open-burning '!$C$9*'4C2 Open-burning '!$C$11*$C$5</f>
        <v>0</v>
      </c>
      <c r="X186" s="485">
        <f>H186*'4C2 Open-burning '!$C$9*'4C2 Open-burning '!$C$11*$C$5</f>
        <v>0</v>
      </c>
      <c r="Y186" s="485">
        <f>I186*'4C2 Open-burning '!$C$9*'4C2 Open-burning '!$C$11*$C$5</f>
        <v>1.089335792695908</v>
      </c>
      <c r="Z186" s="486">
        <f t="shared" si="17"/>
        <v>3.364839028285008</v>
      </c>
      <c r="AA186" s="1630">
        <f>C186*'4C2 Open-burning '!$C$10*'4C2 Open-burning '!$C$11*$C$5*C$15</f>
        <v>9.0161693897760214E-3</v>
      </c>
      <c r="AB186" s="487">
        <f>D186*'4C2 Open-burning '!$C$10*'4C2 Open-burning '!$C$11*$C$5*D$15</f>
        <v>9.4165344417050621E-3</v>
      </c>
      <c r="AC186" s="487">
        <f>E186*'4C2 Open-burning '!$C$10*'4C2 Open-burning '!$C$11*$C$5*E$15</f>
        <v>5.7868681952488767E-3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2.2624666463684238E-2</v>
      </c>
      <c r="AH186" s="488">
        <f t="shared" si="18"/>
        <v>4.6844238490414199E-2</v>
      </c>
      <c r="AI186" s="1388"/>
      <c r="AJ186" s="1388"/>
      <c r="AK186" s="1388"/>
      <c r="AL186" s="4"/>
      <c r="AM186" s="4"/>
    </row>
    <row r="187" spans="1:39">
      <c r="A187" s="959">
        <f>'Input data'!A148</f>
        <v>2048</v>
      </c>
      <c r="B187" s="560">
        <f>'Recycling - Case 3'!AP128</f>
        <v>4.3159907195670595E-2</v>
      </c>
      <c r="C187" s="527">
        <f>$B187*'Recycling - Case 3'!$AK128*'Recycling - Case 3'!BM128</f>
        <v>250.05969724000448</v>
      </c>
      <c r="D187" s="528">
        <f>$B187*'Recycling - Case 3'!$AK128*'Recycling - Case 3'!BN128</f>
        <v>261.16365495672403</v>
      </c>
      <c r="E187" s="528">
        <f>$B187*'Recycling - Case 3'!$AK128*'Recycling - Case 3'!BO128</f>
        <v>71.331722489728364</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278.88252767450172</v>
      </c>
      <c r="J187" s="744">
        <f t="shared" si="19"/>
        <v>861.43760236095864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0.37681981049313862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9.6080608434419315</v>
      </c>
      <c r="R187" s="1384">
        <f t="shared" si="16"/>
        <v>9.9848806539350701</v>
      </c>
      <c r="S187" s="484">
        <f>C187*'4C2 Open-burning '!$C$9*'4C2 Open-burning '!$C$11*$C$5</f>
        <v>0.97523281923601746</v>
      </c>
      <c r="T187" s="485">
        <f>D187*'4C2 Open-burning '!$C$9*'4C2 Open-burning '!$C$11*$C$5</f>
        <v>1.0185382543312236</v>
      </c>
      <c r="U187" s="485">
        <f>E187*'4C2 Open-burning '!$C$9*'4C2 Open-burning '!$C$11*$C$5</f>
        <v>0.27819371770994061</v>
      </c>
      <c r="V187" s="485">
        <f>F187*'4C2 Open-burning '!$C$9*'4C2 Open-burning '!$C$11*$C$5</f>
        <v>0</v>
      </c>
      <c r="W187" s="485">
        <f>G187*'4C2 Open-burning '!$C$9*'4C2 Open-burning '!$C$11*$C$5</f>
        <v>0</v>
      </c>
      <c r="X187" s="485">
        <f>H187*'4C2 Open-burning '!$C$9*'4C2 Open-burning '!$C$11*$C$5</f>
        <v>0</v>
      </c>
      <c r="Y187" s="485">
        <f>I187*'4C2 Open-burning '!$C$9*'4C2 Open-burning '!$C$11*$C$5</f>
        <v>1.0876418579305567</v>
      </c>
      <c r="Z187" s="486">
        <f t="shared" si="17"/>
        <v>3.3596066492077385</v>
      </c>
      <c r="AA187" s="1630">
        <f>C187*'4C2 Open-burning '!$C$10*'4C2 Open-burning '!$C$11*$C$5*C$15</f>
        <v>9.0021491006401604E-3</v>
      </c>
      <c r="AB187" s="487">
        <f>D187*'4C2 Open-burning '!$C$10*'4C2 Open-burning '!$C$11*$C$5*D$15</f>
        <v>9.4018915784420641E-3</v>
      </c>
      <c r="AC187" s="487">
        <f>E187*'4C2 Open-burning '!$C$10*'4C2 Open-burning '!$C$11*$C$5*E$15</f>
        <v>5.7778695216679976E-3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2.2589484741634639E-2</v>
      </c>
      <c r="AH187" s="488">
        <f t="shared" si="18"/>
        <v>4.6771394942384859E-2</v>
      </c>
      <c r="AI187" s="1388"/>
      <c r="AJ187" s="1388"/>
      <c r="AK187" s="1388"/>
      <c r="AL187" s="4"/>
      <c r="AM187" s="4"/>
    </row>
    <row r="188" spans="1:39">
      <c r="A188" s="959">
        <f>'Input data'!A149</f>
        <v>2049</v>
      </c>
      <c r="B188" s="560">
        <f>'Recycling - Case 3'!AP129</f>
        <v>4.2981766855635914E-2</v>
      </c>
      <c r="C188" s="527">
        <f>$B188*'Recycling - Case 3'!$AK129*'Recycling - Case 3'!BM129</f>
        <v>249.67437059597793</v>
      </c>
      <c r="D188" s="528">
        <f>$B188*'Recycling - Case 3'!$AK129*'Recycling - Case 3'!BN129</f>
        <v>260.76121779545048</v>
      </c>
      <c r="E188" s="528">
        <f>$B188*'Recycling - Case 3'!$AK129*'Recycling - Case 3'!BO129</f>
        <v>71.221804683928497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278.45278681800806</v>
      </c>
      <c r="J188" s="744">
        <f t="shared" si="19"/>
        <v>860.11017989336483</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0.37623915429550803</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9.5932554114540132</v>
      </c>
      <c r="R188" s="1384">
        <f t="shared" si="16"/>
        <v>9.9694945657495211</v>
      </c>
      <c r="S188" s="484">
        <f>C188*'4C2 Open-burning '!$C$9*'4C2 Open-burning '!$C$11*$C$5</f>
        <v>0.97373004532431384</v>
      </c>
      <c r="T188" s="485">
        <f>D188*'4C2 Open-burning '!$C$9*'4C2 Open-burning '!$C$11*$C$5</f>
        <v>1.0169687494022568</v>
      </c>
      <c r="U188" s="485">
        <f>E188*'4C2 Open-burning '!$C$9*'4C2 Open-burning '!$C$11*$C$5</f>
        <v>0.27776503826732113</v>
      </c>
      <c r="V188" s="485">
        <f>F188*'4C2 Open-burning '!$C$9*'4C2 Open-burning '!$C$11*$C$5</f>
        <v>0</v>
      </c>
      <c r="W188" s="485">
        <f>G188*'4C2 Open-burning '!$C$9*'4C2 Open-burning '!$C$11*$C$5</f>
        <v>0</v>
      </c>
      <c r="X188" s="485">
        <f>H188*'4C2 Open-burning '!$C$9*'4C2 Open-burning '!$C$11*$C$5</f>
        <v>0</v>
      </c>
      <c r="Y188" s="485">
        <f>I188*'4C2 Open-burning '!$C$9*'4C2 Open-burning '!$C$11*$C$5</f>
        <v>1.0859658685902314</v>
      </c>
      <c r="Z188" s="486">
        <f t="shared" si="17"/>
        <v>3.3544297015841229</v>
      </c>
      <c r="AA188" s="1630">
        <f>C188*'4C2 Open-burning '!$C$10*'4C2 Open-burning '!$C$11*$C$5*C$15</f>
        <v>8.9882773414552055E-3</v>
      </c>
      <c r="AB188" s="487">
        <f>D188*'4C2 Open-burning '!$C$10*'4C2 Open-burning '!$C$11*$C$5*D$15</f>
        <v>9.3874038406362159E-3</v>
      </c>
      <c r="AC188" s="487">
        <f>E188*'4C2 Open-burning '!$C$10*'4C2 Open-burning '!$C$11*$C$5*E$15</f>
        <v>5.7689661793982076E-3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2.2554675732258653E-2</v>
      </c>
      <c r="AH188" s="488">
        <f t="shared" si="18"/>
        <v>4.6699323093748288E-2</v>
      </c>
      <c r="AI188" s="1388"/>
      <c r="AJ188" s="1388"/>
      <c r="AK188" s="1388"/>
      <c r="AL188" s="4"/>
      <c r="AM188" s="4"/>
    </row>
    <row r="189" spans="1:39" ht="15" thickBot="1">
      <c r="A189" s="960">
        <f>'Input data'!A150</f>
        <v>2050</v>
      </c>
      <c r="B189" s="797">
        <f>'Recycling - Case 3'!AP130</f>
        <v>4.2803996056239621E-2</v>
      </c>
      <c r="C189" s="670">
        <f>$B189*'Recycling - Case 3'!$AK130*'Recycling - Case 3'!BM130</f>
        <v>249.29112554706313</v>
      </c>
      <c r="D189" s="667">
        <f>$B189*'Recycling - Case 3'!$AK130*'Recycling - Case 3'!BN130</f>
        <v>260.36095466299298</v>
      </c>
      <c r="E189" s="667">
        <f>$B189*'Recycling - Case 3'!$AK130*'Recycling - Case 3'!BO130</f>
        <v>71.112480671396739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278.0253674891847</v>
      </c>
      <c r="J189" s="936">
        <f t="shared" si="19"/>
        <v>858.78992837063765</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0.37566163489394727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9.5785299607373897</v>
      </c>
      <c r="R189" s="1386">
        <f t="shared" si="16"/>
        <v>9.9541915956313378</v>
      </c>
      <c r="S189" s="490">
        <f>C189*'4C2 Open-burning '!$C$9*'4C2 Open-burning '!$C$11*$C$5</f>
        <v>0.97223538963354617</v>
      </c>
      <c r="T189" s="491">
        <f>D189*'4C2 Open-burning '!$C$9*'4C2 Open-burning '!$C$11*$C$5</f>
        <v>1.0154077231856724</v>
      </c>
      <c r="U189" s="491">
        <f>E189*'4C2 Open-burning '!$C$9*'4C2 Open-burning '!$C$11*$C$5</f>
        <v>0.27733867461844725</v>
      </c>
      <c r="V189" s="491">
        <f>F189*'4C2 Open-burning '!$C$9*'4C2 Open-burning '!$C$11*$C$5</f>
        <v>0</v>
      </c>
      <c r="W189" s="491">
        <f>G189*'4C2 Open-burning '!$C$9*'4C2 Open-burning '!$C$11*$C$5</f>
        <v>0</v>
      </c>
      <c r="X189" s="491">
        <f>H189*'4C2 Open-burning '!$C$9*'4C2 Open-burning '!$C$11*$C$5</f>
        <v>0</v>
      </c>
      <c r="Y189" s="491">
        <f>I189*'4C2 Open-burning '!$C$9*'4C2 Open-burning '!$C$11*$C$5</f>
        <v>1.0842989332078203</v>
      </c>
      <c r="Z189" s="492">
        <f t="shared" si="17"/>
        <v>3.3492807206454862</v>
      </c>
      <c r="AA189" s="1631">
        <f>C189*'4C2 Open-burning '!$C$10*'4C2 Open-burning '!$C$11*$C$5*C$15</f>
        <v>8.9744805196942719E-3</v>
      </c>
      <c r="AB189" s="1632">
        <f>D189*'4C2 Open-burning '!$C$10*'4C2 Open-burning '!$C$11*$C$5*D$15</f>
        <v>9.3729943678677458E-3</v>
      </c>
      <c r="AC189" s="1632">
        <f>E189*'4C2 Open-burning '!$C$10*'4C2 Open-burning '!$C$11*$C$5*E$15</f>
        <v>5.7601109343831348E-3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2.2520054766623963E-2</v>
      </c>
      <c r="AH189" s="493">
        <f t="shared" si="18"/>
        <v>4.6627640588569122E-2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 thickBot="1">
      <c r="A53" s="172"/>
      <c r="B53" s="163"/>
      <c r="C53" s="173"/>
      <c r="D53" s="173"/>
      <c r="E53" s="173"/>
      <c r="F53" s="163"/>
      <c r="G53" s="163"/>
      <c r="H53" s="163"/>
      <c r="I53" s="140"/>
      <c r="J53" s="104"/>
      <c r="K53" s="104"/>
    </row>
    <row r="54" spans="1:49" ht="15" thickBot="1"/>
    <row r="55" spans="1:49" ht="74.400000000000006" customHeight="1">
      <c r="A55" s="1800" t="s">
        <v>217</v>
      </c>
      <c r="B55" s="546" t="s">
        <v>218</v>
      </c>
      <c r="C55" s="547" t="s">
        <v>501</v>
      </c>
      <c r="D55" s="548" t="s">
        <v>504</v>
      </c>
      <c r="E55" s="549" t="s">
        <v>296</v>
      </c>
      <c r="F55" s="550" t="s">
        <v>309</v>
      </c>
      <c r="G55" s="551" t="s">
        <v>310</v>
      </c>
      <c r="H55" s="1808" t="s">
        <v>6</v>
      </c>
      <c r="I55" s="1809"/>
      <c r="J55" s="1809"/>
      <c r="K55" s="1809"/>
      <c r="L55" s="1809"/>
      <c r="M55" s="1897"/>
      <c r="N55" s="1808" t="s">
        <v>298</v>
      </c>
      <c r="O55" s="1809"/>
      <c r="P55" s="1809"/>
      <c r="Q55" s="1809"/>
      <c r="R55" s="1809"/>
      <c r="S55" s="1897"/>
      <c r="T55" s="1808" t="s">
        <v>299</v>
      </c>
      <c r="U55" s="1809"/>
      <c r="V55" s="1809"/>
      <c r="W55" s="1809"/>
      <c r="X55" s="1809"/>
      <c r="Y55" s="1897"/>
      <c r="Z55" s="2007" t="s">
        <v>308</v>
      </c>
      <c r="AA55" s="1888"/>
      <c r="AB55" s="1888"/>
      <c r="AC55" s="1888"/>
      <c r="AD55" s="1888"/>
      <c r="AE55" s="1888"/>
      <c r="AF55" s="1889"/>
      <c r="AG55" s="2007" t="s">
        <v>307</v>
      </c>
      <c r="AH55" s="1888"/>
      <c r="AI55" s="1888"/>
      <c r="AJ55" s="1888"/>
      <c r="AK55" s="1888"/>
      <c r="AL55" s="1888"/>
      <c r="AM55" s="1889"/>
      <c r="AN55" s="2007" t="s">
        <v>306</v>
      </c>
      <c r="AO55" s="1888"/>
      <c r="AP55" s="1888"/>
      <c r="AQ55" s="1888"/>
      <c r="AR55" s="1888"/>
      <c r="AS55" s="1888"/>
      <c r="AT55" s="1889"/>
      <c r="AU55" s="250" t="s">
        <v>311</v>
      </c>
      <c r="AV55" s="245" t="s">
        <v>305</v>
      </c>
      <c r="AW55" s="247" t="s">
        <v>313</v>
      </c>
    </row>
    <row r="56" spans="1:49" ht="58.2"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6"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v>
      </c>
      <c r="C126" s="417">
        <f>'Recycling - Case 1'!E98</f>
        <v>0.72344242424242422</v>
      </c>
      <c r="D126" s="525">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17">
        <f>'Recycling - Case 1'!E99</f>
        <v>0.73208484848484845</v>
      </c>
      <c r="D127" s="525">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17">
        <f>'Recycling - Case 1'!E100</f>
        <v>0.74072727272727268</v>
      </c>
      <c r="D128" s="525">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17">
        <f>'Recycling - Case 1'!E101</f>
        <v>0.74936969696969691</v>
      </c>
      <c r="D129" s="525">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17">
        <f>'Recycling - Case 1'!E102</f>
        <v>0.75801212121212114</v>
      </c>
      <c r="D130" s="525">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17">
        <f>'Recycling - Case 1'!E103</f>
        <v>0.76665454545454537</v>
      </c>
      <c r="D131" s="525">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17">
        <f>'Recycling - Case 1'!E104</f>
        <v>0.7752969696969696</v>
      </c>
      <c r="D132" s="525">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17">
        <f>'Recycling - Case 1'!E105</f>
        <v>0.78393939393939382</v>
      </c>
      <c r="D133" s="525">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17">
        <f>'Recycling - Case 1'!E106</f>
        <v>0.79258181818181805</v>
      </c>
      <c r="D134" s="525">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17">
        <f>'Recycling - Case 1'!E107</f>
        <v>0.80122424242424228</v>
      </c>
      <c r="D135" s="525">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17">
        <f>'Recycling - Case 1'!E108</f>
        <v>0.80986666666666651</v>
      </c>
      <c r="D136" s="525">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17">
        <f>'Recycling - Case 1'!E109</f>
        <v>0.81850909090909074</v>
      </c>
      <c r="D137" s="525">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17">
        <f>'Recycling - Case 1'!E110</f>
        <v>0.82715151515151497</v>
      </c>
      <c r="D138" s="525">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17">
        <f>'Recycling - Case 1'!E111</f>
        <v>0.8357939393939392</v>
      </c>
      <c r="D139" s="525">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17">
        <f>'Recycling - Case 1'!E112</f>
        <v>0.84443636363636343</v>
      </c>
      <c r="D140" s="525">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17">
        <f>'Recycling - Case 1'!E113</f>
        <v>0.85307878787878766</v>
      </c>
      <c r="D141" s="525">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17">
        <f>'Recycling - Case 1'!E114</f>
        <v>0.86172121212121189</v>
      </c>
      <c r="D142" s="525">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17">
        <f>'Recycling - Case 1'!E115</f>
        <v>0.87036363636363612</v>
      </c>
      <c r="D143" s="525">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17">
        <f>'Recycling - Case 1'!E116</f>
        <v>0.87900606060606035</v>
      </c>
      <c r="D144" s="525">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17">
        <f>'Recycling - Case 1'!E117</f>
        <v>0.88764848484848458</v>
      </c>
      <c r="D145" s="525">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17">
        <f>'Recycling - Case 1'!E118</f>
        <v>0.89629090909090881</v>
      </c>
      <c r="D146" s="525">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17">
        <f>'Recycling - Case 1'!E119</f>
        <v>0.90493333333333303</v>
      </c>
      <c r="D147" s="525">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17">
        <f>'Recycling - Case 1'!E120</f>
        <v>0.91357575757575726</v>
      </c>
      <c r="D148" s="525">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17">
        <f>'Recycling - Case 1'!E121</f>
        <v>0.92221818181818149</v>
      </c>
      <c r="D149" s="525">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17">
        <f>'Recycling - Case 1'!E122</f>
        <v>0.93086060606060572</v>
      </c>
      <c r="D150" s="525">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17">
        <f>'Recycling - Case 1'!E123</f>
        <v>0.93950303030302995</v>
      </c>
      <c r="D151" s="525">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17">
        <f>'Recycling - Case 1'!E124</f>
        <v>0.94814545454545418</v>
      </c>
      <c r="D152" s="525">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17">
        <f>'Recycling - Case 1'!E125</f>
        <v>0.95678787878787841</v>
      </c>
      <c r="D153" s="525">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17">
        <f>'Recycling - Case 1'!E126</f>
        <v>0.96543030303030264</v>
      </c>
      <c r="D154" s="525">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17">
        <f>'Recycling - Case 1'!E127</f>
        <v>0.97407272727272687</v>
      </c>
      <c r="D155" s="525">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17">
        <f>'Recycling - Case 1'!E128</f>
        <v>0.9827151515151511</v>
      </c>
      <c r="D156" s="525">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17">
        <f>'Recycling - Case 1'!E129</f>
        <v>0.99135757575757533</v>
      </c>
      <c r="D157" s="525">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 thickBot="1">
      <c r="A158" s="195">
        <f>'Input data'!A150</f>
        <v>2050</v>
      </c>
      <c r="B158" s="209">
        <f>'Input data'!B150</f>
        <v>75.518000000000001</v>
      </c>
      <c r="C158" s="651">
        <f>'Recycling - Case 1'!E130</f>
        <v>1</v>
      </c>
      <c r="D158" s="652">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6" thickBot="1">
      <c r="A159" s="763" t="s">
        <v>618</v>
      </c>
    </row>
    <row r="160" spans="1:49">
      <c r="A160" s="194">
        <f>'Input data'!A118</f>
        <v>2018</v>
      </c>
      <c r="B160" s="207">
        <f>'Input data'!B118</f>
        <v>57.436</v>
      </c>
      <c r="C160" s="647">
        <f>'Recycling - Case 2'!E98</f>
        <v>0.73673846153846156</v>
      </c>
      <c r="D160" s="715">
        <f>'Recycling - Case 2'!F98</f>
        <v>0.29557307692307688</v>
      </c>
      <c r="E160" s="961">
        <f>B160*$C$4*($C$7*$C$11+$C$8*$C$10+$C$7*$C$12)*10^6</f>
        <v>893963339.95000005</v>
      </c>
      <c r="F160" s="738">
        <v>0</v>
      </c>
      <c r="G160" s="739">
        <f t="shared" ref="G160:G192" si="132">E160-F160</f>
        <v>893963339.95000005</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11202048.313681155</v>
      </c>
      <c r="AA160" s="738">
        <f t="shared" ref="AA160:AA192" si="134">I160*$C$36*G160*$C$10</f>
        <v>0</v>
      </c>
      <c r="AB160" s="738">
        <f t="shared" ref="AB160:AB192" si="135">J160*$C$37*G160*$C$10</f>
        <v>11202048.313681155</v>
      </c>
      <c r="AC160" s="738">
        <f t="shared" ref="AC160:AC192" si="136">K160*$C$40*G160*$C$10</f>
        <v>6273147.0556614473</v>
      </c>
      <c r="AD160" s="738">
        <f t="shared" ref="AD160:AD192" si="137">L160*$C$41*G160*$C$10</f>
        <v>896163.86509449244</v>
      </c>
      <c r="AE160" s="738">
        <f t="shared" ref="AE160:AE192" si="138">M160*$C$42*G160*$C$10</f>
        <v>0</v>
      </c>
      <c r="AF160" s="970">
        <f t="shared" ref="AF160:AF192" si="139">SUM(Z160:AE160)</f>
        <v>29573407.548118252</v>
      </c>
      <c r="AG160" s="961">
        <f t="shared" ref="AG160:AG192" si="140">N160*$C$35*G160*$C$11</f>
        <v>0</v>
      </c>
      <c r="AH160" s="738">
        <f t="shared" ref="AH160:AH192" si="141">O160*$C$36*G160*$C$11</f>
        <v>0</v>
      </c>
      <c r="AI160" s="738">
        <f t="shared" ref="AI160:AI192" si="142">P160*$C$37*G160*$C$11</f>
        <v>4827402.0357300006</v>
      </c>
      <c r="AJ160" s="738">
        <f t="shared" ref="AJ160:AJ192" si="143">Q160*$C$38*G160*$C$11</f>
        <v>965480.40714599984</v>
      </c>
      <c r="AK160" s="738">
        <f t="shared" ref="AK160:AK192" si="144">R160*$C$41*G160*$C$11</f>
        <v>0</v>
      </c>
      <c r="AL160" s="738">
        <f t="shared" ref="AL160:AL192" si="145">S160*$C$42*G160*$C$11</f>
        <v>0</v>
      </c>
      <c r="AM160" s="1436">
        <f t="shared" ref="AM160:AM192" si="146">SUM(AG160:AL160)</f>
        <v>5792882.442876</v>
      </c>
      <c r="AN160" s="961">
        <f t="shared" ref="AN160:AN192" si="147">T160*$C$35*G160*$C$12</f>
        <v>45539524.03321448</v>
      </c>
      <c r="AO160" s="738">
        <f t="shared" ref="AO160:AO192" si="148">U160*$C$36*G160*$C$12</f>
        <v>0</v>
      </c>
      <c r="AP160" s="738">
        <f t="shared" ref="AP160:AP192" si="149">V160*$C$37*G160*$C$12</f>
        <v>22769762.01660724</v>
      </c>
      <c r="AQ160" s="738">
        <f t="shared" ref="AQ160:AQ192" si="150">W160*$C$39*G160*$C$12</f>
        <v>32145546.376386695</v>
      </c>
      <c r="AR160" s="738">
        <f t="shared" ref="AR160:AR192" si="151">X160*$C$41*G160*$C$12</f>
        <v>1339397.765682779</v>
      </c>
      <c r="AS160" s="738">
        <f t="shared" ref="AS160:AS192" si="152">Y160*$C$42*N160*$C$12</f>
        <v>0</v>
      </c>
      <c r="AT160" s="1436">
        <f t="shared" ref="AT160:AT192" si="153">SUM(AN160:AS160)</f>
        <v>101794230.19189118</v>
      </c>
      <c r="AU160" s="1437">
        <v>0</v>
      </c>
      <c r="AV160" s="1438">
        <f>(AF160+AM160+AT160)/10^6-AU160</f>
        <v>137.16052018288545</v>
      </c>
      <c r="AW160" s="1439">
        <f t="shared" ref="AW160:AW192" si="154">((B160*$C$46*$C$47*$C$48*$C$49)-$C$50)*$C$51*$C$52</f>
        <v>2.8960026562367029</v>
      </c>
    </row>
    <row r="161" spans="1:49">
      <c r="A161" s="193">
        <f>'Input data'!A119</f>
        <v>2019</v>
      </c>
      <c r="B161" s="208">
        <f>'Input data'!B119</f>
        <v>58.365000000000002</v>
      </c>
      <c r="C161" s="417">
        <f>'Recycling - Case 2'!E99</f>
        <v>0.75867692307692314</v>
      </c>
      <c r="D161" s="525">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971">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17">
        <f>'Recycling - Case 2'!E100</f>
        <v>0.78061538461538471</v>
      </c>
      <c r="D162" s="525">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971">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17">
        <f>'Recycling - Case 2'!E101</f>
        <v>0.80255384615384628</v>
      </c>
      <c r="D163" s="525">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971">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17">
        <f>'Recycling - Case 2'!E102</f>
        <v>0.82449230769230786</v>
      </c>
      <c r="D164" s="525">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971">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17">
        <f>'Recycling - Case 2'!E103</f>
        <v>0.84643076923076943</v>
      </c>
      <c r="D165" s="525">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971">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17">
        <f>'Recycling - Case 2'!E104</f>
        <v>0.868369230769231</v>
      </c>
      <c r="D166" s="525">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971">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17">
        <f>'Recycling - Case 2'!E105</f>
        <v>0.89030769230769258</v>
      </c>
      <c r="D167" s="525">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971">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17">
        <f>'Recycling - Case 2'!E106</f>
        <v>0.91224615384615415</v>
      </c>
      <c r="D168" s="525">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971">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17">
        <f>'Recycling - Case 2'!E107</f>
        <v>0.93418461538461572</v>
      </c>
      <c r="D169" s="525">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971">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17">
        <f>'Recycling - Case 2'!E108</f>
        <v>0.9561230769230773</v>
      </c>
      <c r="D170" s="525">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971">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17">
        <f>'Recycling - Case 2'!E109</f>
        <v>0.97806153846153887</v>
      </c>
      <c r="D171" s="525">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971">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17">
        <f>'Recycling - Case 2'!E110</f>
        <v>1</v>
      </c>
      <c r="D172" s="525">
        <f>'Recycling - Case 2'!F110</f>
        <v>0.36725000000000002</v>
      </c>
      <c r="E172" s="766">
        <f t="shared" si="155"/>
        <v>1026572986.4500002</v>
      </c>
      <c r="F172" s="526">
        <v>0</v>
      </c>
      <c r="G172" s="663">
        <f t="shared" si="132"/>
        <v>1026572986.4500002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23097892.195125006</v>
      </c>
      <c r="AA172" s="526">
        <f t="shared" si="134"/>
        <v>0</v>
      </c>
      <c r="AB172" s="526">
        <f t="shared" si="135"/>
        <v>23097892.195125006</v>
      </c>
      <c r="AC172" s="526">
        <f t="shared" si="136"/>
        <v>12934819.629270006</v>
      </c>
      <c r="AD172" s="526">
        <f t="shared" si="137"/>
        <v>1847831.3756100005</v>
      </c>
      <c r="AE172" s="526">
        <f t="shared" si="138"/>
        <v>0</v>
      </c>
      <c r="AF172" s="981">
        <f t="shared" si="139"/>
        <v>60978435.395130016</v>
      </c>
      <c r="AG172" s="766">
        <f t="shared" si="140"/>
        <v>0</v>
      </c>
      <c r="AH172" s="526">
        <f t="shared" si="141"/>
        <v>0</v>
      </c>
      <c r="AI172" s="526">
        <f t="shared" si="142"/>
        <v>5543494.1268300004</v>
      </c>
      <c r="AJ172" s="526">
        <f t="shared" si="143"/>
        <v>1108698.8253660002</v>
      </c>
      <c r="AK172" s="526">
        <f t="shared" si="144"/>
        <v>0</v>
      </c>
      <c r="AL172" s="526">
        <f t="shared" si="145"/>
        <v>0</v>
      </c>
      <c r="AM172" s="768">
        <f t="shared" si="146"/>
        <v>6652192.9521960001</v>
      </c>
      <c r="AN172" s="766">
        <f t="shared" si="147"/>
        <v>64135147.328463756</v>
      </c>
      <c r="AO172" s="526">
        <f t="shared" si="148"/>
        <v>0</v>
      </c>
      <c r="AP172" s="526">
        <f t="shared" si="149"/>
        <v>32067573.664231878</v>
      </c>
      <c r="AQ172" s="526">
        <f t="shared" si="150"/>
        <v>45271868.702445</v>
      </c>
      <c r="AR172" s="526">
        <f t="shared" si="151"/>
        <v>1886327.8626018751</v>
      </c>
      <c r="AS172" s="526">
        <f t="shared" si="152"/>
        <v>0</v>
      </c>
      <c r="AT172" s="768">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17">
        <f>'Recycling - Case 2'!E111</f>
        <v>1</v>
      </c>
      <c r="D173" s="525">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971">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17">
        <f>'Recycling - Case 2'!E112</f>
        <v>1</v>
      </c>
      <c r="D174" s="525">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971">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17">
        <f>'Recycling - Case 2'!E113</f>
        <v>1</v>
      </c>
      <c r="D175" s="525">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971">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17">
        <f>'Recycling - Case 2'!E114</f>
        <v>1</v>
      </c>
      <c r="D176" s="525">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971">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17">
        <f>'Recycling - Case 2'!E115</f>
        <v>1</v>
      </c>
      <c r="D177" s="525">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971">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17">
        <f>'Recycling - Case 2'!E116</f>
        <v>1</v>
      </c>
      <c r="D178" s="525">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971">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17">
        <f>'Recycling - Case 2'!E117</f>
        <v>1</v>
      </c>
      <c r="D179" s="525">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971">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17">
        <f>'Recycling - Case 2'!E118</f>
        <v>1</v>
      </c>
      <c r="D180" s="525">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971">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17">
        <f>'Recycling - Case 2'!E119</f>
        <v>1</v>
      </c>
      <c r="D181" s="525">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971">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17">
        <f>'Recycling - Case 2'!E120</f>
        <v>1</v>
      </c>
      <c r="D182" s="525">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971">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17">
        <f>'Recycling - Case 2'!E121</f>
        <v>1</v>
      </c>
      <c r="D183" s="525">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971">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17">
        <f>'Recycling - Case 2'!E122</f>
        <v>1</v>
      </c>
      <c r="D184" s="525">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971">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17">
        <f>'Recycling - Case 2'!E123</f>
        <v>1</v>
      </c>
      <c r="D185" s="525">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971">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17">
        <f>'Recycling - Case 2'!E124</f>
        <v>1</v>
      </c>
      <c r="D186" s="525">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971">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17">
        <f>'Recycling - Case 2'!E125</f>
        <v>1</v>
      </c>
      <c r="D187" s="525">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971">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17">
        <f>'Recycling - Case 2'!E126</f>
        <v>1</v>
      </c>
      <c r="D188" s="525">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971">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17">
        <f>'Recycling - Case 2'!E127</f>
        <v>1</v>
      </c>
      <c r="D189" s="525">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971">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17">
        <f>'Recycling - Case 2'!E128</f>
        <v>1</v>
      </c>
      <c r="D190" s="525">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971">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17">
        <f>'Recycling - Case 2'!E129</f>
        <v>1</v>
      </c>
      <c r="D191" s="525">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971">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 thickBot="1">
      <c r="A192" s="195">
        <f>'Input data'!A150</f>
        <v>2050</v>
      </c>
      <c r="B192" s="209">
        <f>'Input data'!B150</f>
        <v>75.518000000000001</v>
      </c>
      <c r="C192" s="651">
        <f>'Recycling - Case 2'!E130</f>
        <v>1</v>
      </c>
      <c r="D192" s="652">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972">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6"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v>
      </c>
      <c r="C194" s="417">
        <f>'Recycling - Case 3'!E98</f>
        <v>0.73673846153846156</v>
      </c>
      <c r="D194" s="525">
        <f>'Recycling - Case 3'!F98</f>
        <v>0.29578461538461537</v>
      </c>
      <c r="E194" s="235">
        <f t="shared" ref="E194:E226" si="188">B194*$C$4*($C$7*$C$11+$C$8*$C$10+$C$7*$C$12)*10^6</f>
        <v>893963339.95000005</v>
      </c>
      <c r="F194" s="236">
        <v>0</v>
      </c>
      <c r="G194" s="237">
        <f t="shared" ref="G194:G226" si="189">E194-F194</f>
        <v>893963339.95000005</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971">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973">
        <f t="shared" ref="AW194:AW202" si="213">((B194*$C$46*$C$47*$C$48*$C$49)-$C$50)*$C$51*$C$52</f>
        <v>2.8960026562367029</v>
      </c>
    </row>
    <row r="195" spans="1:49">
      <c r="A195" s="127">
        <f>'Input data'!A119</f>
        <v>2019</v>
      </c>
      <c r="B195" s="105">
        <f>'Input data'!B119</f>
        <v>58.365000000000002</v>
      </c>
      <c r="C195" s="417">
        <f>'Recycling - Case 3'!E99</f>
        <v>0.75867692307692314</v>
      </c>
      <c r="D195" s="525">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971">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973">
        <f t="shared" si="213"/>
        <v>2.9428441226975277</v>
      </c>
    </row>
    <row r="196" spans="1:49">
      <c r="A196" s="127">
        <f>'Input data'!A120</f>
        <v>2020</v>
      </c>
      <c r="B196" s="105">
        <f>'Input data'!B120</f>
        <v>59.308999999999997</v>
      </c>
      <c r="C196" s="417">
        <f>'Recycling - Case 3'!E100</f>
        <v>0.78061538461538471</v>
      </c>
      <c r="D196" s="525">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971">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973">
        <f t="shared" si="213"/>
        <v>2.9904419099300554</v>
      </c>
    </row>
    <row r="197" spans="1:49">
      <c r="A197" s="127">
        <f>'Input data'!A121</f>
        <v>2021</v>
      </c>
      <c r="B197" s="105">
        <f>'Input data'!B121</f>
        <v>59.991999999999997</v>
      </c>
      <c r="C197" s="417">
        <f>'Recycling - Case 3'!E101</f>
        <v>0.80255384615384628</v>
      </c>
      <c r="D197" s="525">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971">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973">
        <f t="shared" si="213"/>
        <v>3.024879715734945</v>
      </c>
    </row>
    <row r="198" spans="1:49">
      <c r="A198" s="127">
        <f>'Input data'!A122</f>
        <v>2022</v>
      </c>
      <c r="B198" s="105">
        <f>'Input data'!B122</f>
        <v>60.682000000000002</v>
      </c>
      <c r="C198" s="417">
        <f>'Recycling - Case 3'!E102</f>
        <v>0.82449230769230786</v>
      </c>
      <c r="D198" s="525">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971">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973">
        <f t="shared" si="213"/>
        <v>3.0596704712332969</v>
      </c>
    </row>
    <row r="199" spans="1:49">
      <c r="A199" s="127">
        <f>'Input data'!A123</f>
        <v>2023</v>
      </c>
      <c r="B199" s="105">
        <f>'Input data'!B123</f>
        <v>61.381</v>
      </c>
      <c r="C199" s="417">
        <f>'Recycling - Case 3'!E103</f>
        <v>0.84643076923076943</v>
      </c>
      <c r="D199" s="525">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971">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973">
        <f t="shared" si="213"/>
        <v>3.0949150191946715</v>
      </c>
    </row>
    <row r="200" spans="1:49">
      <c r="A200" s="127">
        <f>'Input data'!A124</f>
        <v>2024</v>
      </c>
      <c r="B200" s="105">
        <f>'Input data'!B124</f>
        <v>62.088000000000001</v>
      </c>
      <c r="C200" s="417">
        <f>'Recycling - Case 3'!E104</f>
        <v>0.868369230769231</v>
      </c>
      <c r="D200" s="525">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971">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973">
        <f t="shared" si="213"/>
        <v>3.1305629382342866</v>
      </c>
    </row>
    <row r="201" spans="1:49">
      <c r="A201" s="127">
        <f>'Input data'!A125</f>
        <v>2025</v>
      </c>
      <c r="B201" s="105">
        <f>'Input data'!B125</f>
        <v>62.802999999999997</v>
      </c>
      <c r="C201" s="417">
        <f>'Recycling - Case 3'!E105</f>
        <v>0.89030769230769258</v>
      </c>
      <c r="D201" s="525">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971">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973">
        <f t="shared" si="213"/>
        <v>3.166614228352143</v>
      </c>
    </row>
    <row r="202" spans="1:49">
      <c r="A202" s="127">
        <f>'Input data'!A126</f>
        <v>2026</v>
      </c>
      <c r="B202" s="105">
        <f>'Input data'!B126</f>
        <v>63.420999999999999</v>
      </c>
      <c r="C202" s="417">
        <f>'Recycling - Case 3'!E106</f>
        <v>0.91224615384615415</v>
      </c>
      <c r="D202" s="525">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971">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973">
        <f t="shared" si="213"/>
        <v>3.1977746441463193</v>
      </c>
    </row>
    <row r="203" spans="1:49">
      <c r="A203" s="127">
        <f>'Input data'!A127</f>
        <v>2027</v>
      </c>
      <c r="B203" s="105">
        <f>'Input data'!B127</f>
        <v>64.046000000000006</v>
      </c>
      <c r="C203" s="417">
        <f>'Recycling - Case 3'!E107</f>
        <v>0.93418461538461572</v>
      </c>
      <c r="D203" s="525">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971">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973">
        <f t="shared" ref="AW203:AW219" si="253">((B203*$C$46*$C$47*$C$48*$C$49)-$C$50)*$C$51*$C$52</f>
        <v>3.2292880096339567</v>
      </c>
    </row>
    <row r="204" spans="1:49">
      <c r="A204" s="127">
        <f>'Input data'!A128</f>
        <v>2028</v>
      </c>
      <c r="B204" s="105">
        <f>'Input data'!B128</f>
        <v>64.676000000000002</v>
      </c>
      <c r="C204" s="417">
        <f>'Recycling - Case 3'!E108</f>
        <v>0.9561230769230773</v>
      </c>
      <c r="D204" s="525">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971">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973">
        <f t="shared" si="253"/>
        <v>3.2610534820454951</v>
      </c>
    </row>
    <row r="205" spans="1:49">
      <c r="A205" s="127">
        <f>'Input data'!A129</f>
        <v>2029</v>
      </c>
      <c r="B205" s="105">
        <f>'Input data'!B129</f>
        <v>65.313000000000002</v>
      </c>
      <c r="C205" s="417">
        <f>'Recycling - Case 3'!E109</f>
        <v>0.97806153846153887</v>
      </c>
      <c r="D205" s="525">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971">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973">
        <f t="shared" si="253"/>
        <v>3.2931719041504954</v>
      </c>
    </row>
    <row r="206" spans="1:49">
      <c r="A206" s="127">
        <f>'Input data'!A130</f>
        <v>2030</v>
      </c>
      <c r="B206" s="105">
        <f>'Input data'!B130</f>
        <v>65.956000000000003</v>
      </c>
      <c r="C206" s="417">
        <f>'Recycling - Case 3'!E110</f>
        <v>1</v>
      </c>
      <c r="D206" s="525">
        <f>'Recycling - Case 3'!F110</f>
        <v>0.37</v>
      </c>
      <c r="E206" s="235">
        <f t="shared" si="188"/>
        <v>1026572986.4500002</v>
      </c>
      <c r="F206" s="236">
        <v>0</v>
      </c>
      <c r="G206" s="237">
        <f t="shared" si="189"/>
        <v>1026572986.4500002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971">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973">
        <f t="shared" si="253"/>
        <v>3.3255928545641762</v>
      </c>
    </row>
    <row r="207" spans="1:49">
      <c r="A207" s="127">
        <f>'Input data'!A131</f>
        <v>2031</v>
      </c>
      <c r="B207" s="105">
        <f>'Input data'!B131</f>
        <v>66.519000000000005</v>
      </c>
      <c r="C207" s="417">
        <f>'Recycling - Case 3'!E111</f>
        <v>1</v>
      </c>
      <c r="D207" s="525">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971">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973">
        <f t="shared" si="253"/>
        <v>3.3539800941954407</v>
      </c>
    </row>
    <row r="208" spans="1:49">
      <c r="A208" s="127">
        <f>'Input data'!A132</f>
        <v>2032</v>
      </c>
      <c r="B208" s="105">
        <f>'Input data'!B132</f>
        <v>67.087000000000003</v>
      </c>
      <c r="C208" s="417">
        <f>'Recycling - Case 3'!E112</f>
        <v>1</v>
      </c>
      <c r="D208" s="525">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971">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973">
        <f t="shared" si="253"/>
        <v>3.3826194407506049</v>
      </c>
    </row>
    <row r="209" spans="1:49">
      <c r="A209" s="127">
        <f>'Input data'!A133</f>
        <v>2033</v>
      </c>
      <c r="B209" s="105">
        <f>'Input data'!B133</f>
        <v>67.659000000000006</v>
      </c>
      <c r="C209" s="417">
        <f>'Recycling - Case 3'!E113</f>
        <v>1</v>
      </c>
      <c r="D209" s="525">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971">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973">
        <f t="shared" si="253"/>
        <v>3.4114604728448907</v>
      </c>
    </row>
    <row r="210" spans="1:49">
      <c r="A210" s="127">
        <f>'Input data'!A134</f>
        <v>2034</v>
      </c>
      <c r="B210" s="105">
        <f>'Input data'!B134</f>
        <v>68.236999999999995</v>
      </c>
      <c r="C210" s="417">
        <f>'Recycling - Case 3'!E114</f>
        <v>1</v>
      </c>
      <c r="D210" s="525">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971">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973">
        <f t="shared" si="253"/>
        <v>3.4406040332478574</v>
      </c>
    </row>
    <row r="211" spans="1:49">
      <c r="A211" s="127">
        <f>'Input data'!A135</f>
        <v>2035</v>
      </c>
      <c r="B211" s="105">
        <f>'Input data'!B135</f>
        <v>68.819000000000003</v>
      </c>
      <c r="C211" s="417">
        <f>'Recycling - Case 3'!E115</f>
        <v>1</v>
      </c>
      <c r="D211" s="525">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971">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973">
        <f t="shared" si="253"/>
        <v>3.4699492791899456</v>
      </c>
    </row>
    <row r="212" spans="1:49">
      <c r="A212" s="127">
        <f>'Input data'!A136</f>
        <v>2036</v>
      </c>
      <c r="B212" s="105">
        <f>'Input data'!B136</f>
        <v>69.322999999999993</v>
      </c>
      <c r="C212" s="417">
        <f>'Recycling - Case 3'!E116</f>
        <v>1</v>
      </c>
      <c r="D212" s="525">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971">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973">
        <f t="shared" si="253"/>
        <v>3.4953616571191763</v>
      </c>
    </row>
    <row r="213" spans="1:49">
      <c r="A213" s="127">
        <f>'Input data'!A137</f>
        <v>2037</v>
      </c>
      <c r="B213" s="105">
        <f>'Input data'!B137</f>
        <v>69.83</v>
      </c>
      <c r="C213" s="417">
        <f>'Recycling - Case 3'!E117</f>
        <v>1</v>
      </c>
      <c r="D213" s="525">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971">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973">
        <f t="shared" si="253"/>
        <v>3.5209252992027475</v>
      </c>
    </row>
    <row r="214" spans="1:49">
      <c r="A214" s="127">
        <f>'Input data'!A138</f>
        <v>2038</v>
      </c>
      <c r="B214" s="105">
        <f>'Input data'!B138</f>
        <v>70.341999999999999</v>
      </c>
      <c r="C214" s="417">
        <f>'Recycling - Case 3'!E118</f>
        <v>1</v>
      </c>
      <c r="D214" s="525">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971">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973">
        <f t="shared" si="253"/>
        <v>3.5467410482102202</v>
      </c>
    </row>
    <row r="215" spans="1:49">
      <c r="A215" s="127">
        <f>'Input data'!A139</f>
        <v>2039</v>
      </c>
      <c r="B215" s="105">
        <f>'Input data'!B139</f>
        <v>70.856999999999999</v>
      </c>
      <c r="C215" s="417">
        <f>'Recycling - Case 3'!E119</f>
        <v>1</v>
      </c>
      <c r="D215" s="525">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971">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973">
        <f t="shared" si="253"/>
        <v>3.5727080613720332</v>
      </c>
    </row>
    <row r="216" spans="1:49">
      <c r="A216" s="127">
        <f>'Input data'!A140</f>
        <v>2040</v>
      </c>
      <c r="B216" s="105">
        <f>'Input data'!B140</f>
        <v>71.375</v>
      </c>
      <c r="C216" s="417">
        <f>'Recycling - Case 3'!E120</f>
        <v>1</v>
      </c>
      <c r="D216" s="525">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971">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973">
        <f t="shared" si="253"/>
        <v>3.5988263386881876</v>
      </c>
    </row>
    <row r="217" spans="1:49">
      <c r="A217" s="127">
        <f>'Input data'!A141</f>
        <v>2041</v>
      </c>
      <c r="B217" s="105">
        <f>'Input data'!B141</f>
        <v>71.819000000000003</v>
      </c>
      <c r="C217" s="417">
        <f>'Recycling - Case 3'!E121</f>
        <v>1</v>
      </c>
      <c r="D217" s="525">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971">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973">
        <f t="shared" si="253"/>
        <v>3.6212134335306052</v>
      </c>
    </row>
    <row r="218" spans="1:49">
      <c r="A218" s="127">
        <f>'Input data'!A142</f>
        <v>2042</v>
      </c>
      <c r="B218" s="105">
        <f>'Input data'!B142</f>
        <v>72.265000000000001</v>
      </c>
      <c r="C218" s="417">
        <f>'Recycling - Case 3'!E122</f>
        <v>1</v>
      </c>
      <c r="D218" s="525">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971">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973">
        <f t="shared" si="253"/>
        <v>3.643701371142583</v>
      </c>
    </row>
    <row r="219" spans="1:49">
      <c r="A219" s="127">
        <f>'Input data'!A143</f>
        <v>2043</v>
      </c>
      <c r="B219" s="105">
        <f>'Input data'!B143</f>
        <v>72.713999999999999</v>
      </c>
      <c r="C219" s="417">
        <f>'Recycling - Case 3'!E123</f>
        <v>1</v>
      </c>
      <c r="D219" s="525">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971">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973">
        <f t="shared" si="253"/>
        <v>3.6663405729089016</v>
      </c>
    </row>
    <row r="220" spans="1:49">
      <c r="A220" s="127">
        <f>'Input data'!A144</f>
        <v>2044</v>
      </c>
      <c r="B220" s="105">
        <f>'Input data'!B144</f>
        <v>73.165000000000006</v>
      </c>
      <c r="C220" s="417">
        <f>'Recycling - Case 3'!E124</f>
        <v>1</v>
      </c>
      <c r="D220" s="525">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971">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973">
        <f t="shared" ref="AW220:AW226" si="295">((B220*$C$46*$C$47*$C$48*$C$49)-$C$50)*$C$51*$C$52</f>
        <v>3.6890806174447812</v>
      </c>
    </row>
    <row r="221" spans="1:49">
      <c r="A221" s="127">
        <f>'Input data'!A145</f>
        <v>2045</v>
      </c>
      <c r="B221" s="105">
        <f>'Input data'!B145</f>
        <v>73.62</v>
      </c>
      <c r="C221" s="417">
        <f>'Recycling - Case 3'!E125</f>
        <v>1</v>
      </c>
      <c r="D221" s="525">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971">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973">
        <f t="shared" si="295"/>
        <v>3.7120223475197802</v>
      </c>
    </row>
    <row r="222" spans="1:49">
      <c r="A222" s="127">
        <f>'Input data'!A146</f>
        <v>2046</v>
      </c>
      <c r="B222" s="105">
        <f>'Input data'!B146</f>
        <v>73.995000000000005</v>
      </c>
      <c r="C222" s="417">
        <f>'Recycling - Case 3'!E126</f>
        <v>1</v>
      </c>
      <c r="D222" s="525">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971">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973">
        <f t="shared" si="295"/>
        <v>3.7309303668123635</v>
      </c>
    </row>
    <row r="223" spans="1:49">
      <c r="A223" s="127">
        <f>'Input data'!A147</f>
        <v>2047</v>
      </c>
      <c r="B223" s="105">
        <f>'Input data'!B147</f>
        <v>74.373000000000005</v>
      </c>
      <c r="C223" s="417">
        <f>'Recycling - Case 3'!E127</f>
        <v>1</v>
      </c>
      <c r="D223" s="525">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971">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973">
        <f t="shared" si="295"/>
        <v>3.7499896502592862</v>
      </c>
    </row>
    <row r="224" spans="1:49">
      <c r="A224" s="127">
        <f>'Input data'!A148</f>
        <v>2048</v>
      </c>
      <c r="B224" s="105">
        <f>'Input data'!B148</f>
        <v>74.753</v>
      </c>
      <c r="C224" s="417">
        <f>'Recycling - Case 3'!E128</f>
        <v>1</v>
      </c>
      <c r="D224" s="525">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971">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973">
        <f t="shared" si="295"/>
        <v>3.76914977647577</v>
      </c>
    </row>
    <row r="225" spans="1:49">
      <c r="A225" s="127">
        <f>'Input data'!A149</f>
        <v>2049</v>
      </c>
      <c r="B225" s="105">
        <f>'Input data'!B149</f>
        <v>75.134</v>
      </c>
      <c r="C225" s="417">
        <f>'Recycling - Case 3'!E129</f>
        <v>1</v>
      </c>
      <c r="D225" s="525">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971">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973">
        <f t="shared" si="295"/>
        <v>3.7883603240770336</v>
      </c>
    </row>
    <row r="226" spans="1:49" ht="15" thickBot="1">
      <c r="A226" s="172">
        <f>'Input data'!A150</f>
        <v>2050</v>
      </c>
      <c r="B226" s="962">
        <f>'Input data'!B150</f>
        <v>75.518000000000001</v>
      </c>
      <c r="C226" s="651">
        <f>'Recycling - Case 3'!E130</f>
        <v>1</v>
      </c>
      <c r="D226" s="652">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972">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974">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style="10" customWidth="1"/>
    <col min="2" max="2" width="23.33203125" style="10" customWidth="1"/>
    <col min="3" max="3" width="16.5546875" style="10" customWidth="1"/>
    <col min="4" max="4" width="14.6640625" style="10" customWidth="1"/>
    <col min="5" max="5" width="16.44140625" style="10" customWidth="1"/>
    <col min="6" max="6" width="17" style="10" customWidth="1"/>
    <col min="7" max="7" width="13.88671875" style="10" customWidth="1"/>
    <col min="8" max="8" width="16.5546875" style="10" customWidth="1"/>
    <col min="9" max="9" width="20.33203125" style="10" customWidth="1"/>
    <col min="10" max="10" width="15.109375" style="10" customWidth="1"/>
    <col min="11" max="11" width="8.88671875" style="10"/>
    <col min="12" max="12" width="20.88671875" style="10" customWidth="1"/>
    <col min="13" max="13" width="8.88671875" style="10"/>
    <col min="14" max="14" width="11" style="10" customWidth="1"/>
    <col min="15" max="15" width="10.6640625" style="10" bestFit="1" customWidth="1"/>
    <col min="16" max="16384" width="8.88671875" style="10"/>
  </cols>
  <sheetData>
    <row r="1" spans="1:23">
      <c r="A1" s="9" t="s">
        <v>126</v>
      </c>
      <c r="B1" s="15"/>
      <c r="C1" s="15"/>
      <c r="D1" s="15"/>
      <c r="E1" s="15"/>
      <c r="F1" s="15"/>
      <c r="G1" s="15"/>
      <c r="H1" s="15"/>
      <c r="I1" s="15"/>
      <c r="J1" s="15"/>
    </row>
    <row r="2" spans="1:23" ht="14.4" customHeight="1"/>
    <row r="3" spans="1:23">
      <c r="A3" s="10" t="s">
        <v>159</v>
      </c>
      <c r="B3" s="37"/>
      <c r="C3" s="37"/>
      <c r="D3" s="37"/>
      <c r="E3" s="37"/>
      <c r="F3" s="37"/>
      <c r="G3" s="37"/>
      <c r="L3" s="52" t="s">
        <v>127</v>
      </c>
      <c r="M3" s="53"/>
      <c r="N3" s="53"/>
      <c r="O3" s="53"/>
    </row>
    <row r="4" spans="1:23" ht="1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29.4"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29.4"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 thickBot="1">
      <c r="A19" s="53"/>
      <c r="B19" s="53"/>
      <c r="C19" s="53"/>
      <c r="D19" s="53"/>
      <c r="E19" s="53"/>
      <c r="F19" s="53"/>
      <c r="G19" s="53"/>
      <c r="H19" s="7"/>
      <c r="M19" s="53"/>
      <c r="N19" s="61"/>
      <c r="O19" s="58"/>
    </row>
    <row r="20" spans="1:15" ht="16.2">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6.2">
      <c r="A22" s="63" t="s">
        <v>161</v>
      </c>
      <c r="B22" s="2010" t="s">
        <v>149</v>
      </c>
      <c r="C22" s="2011"/>
      <c r="D22" s="53"/>
      <c r="E22" s="53"/>
      <c r="F22" s="53"/>
      <c r="G22" s="53"/>
      <c r="H22" s="7"/>
      <c r="M22" s="53"/>
      <c r="N22" s="15"/>
      <c r="O22" s="53"/>
    </row>
    <row r="23" spans="1:15" ht="1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 thickBot="1">
      <c r="A26" s="16" t="s">
        <v>101</v>
      </c>
      <c r="B26" s="7"/>
      <c r="C26" s="7"/>
      <c r="D26" s="7"/>
      <c r="E26" s="7"/>
      <c r="F26" s="7"/>
      <c r="G26" s="7"/>
    </row>
    <row r="27" spans="1:15" ht="1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 thickBot="1">
      <c r="A35" s="44" t="s">
        <v>247</v>
      </c>
      <c r="B35" s="21">
        <v>0</v>
      </c>
      <c r="C35" s="103"/>
      <c r="D35" s="7"/>
      <c r="E35" s="7"/>
      <c r="F35" s="7"/>
      <c r="G35" s="7"/>
    </row>
    <row r="36" spans="1:15">
      <c r="A36" s="45" t="s">
        <v>97</v>
      </c>
      <c r="B36" s="23">
        <v>0.18</v>
      </c>
      <c r="C36" s="24" t="s">
        <v>98</v>
      </c>
      <c r="D36" s="7"/>
      <c r="E36" s="7"/>
      <c r="F36" s="7"/>
      <c r="G36" s="7"/>
    </row>
    <row r="37" spans="1:15" ht="1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28.8">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28.8">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Julla</cp:lastModifiedBy>
  <dcterms:created xsi:type="dcterms:W3CDTF">2020-04-24T15:45:05Z</dcterms:created>
  <dcterms:modified xsi:type="dcterms:W3CDTF">2020-08-11T12:46:29Z</dcterms:modified>
</cp:coreProperties>
</file>