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0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6.xml" ContentType="application/vnd.openxmlformats-officedocument.spreadsheetml.comments+xml"/>
  <Override PartName="/xl/drawings/drawing21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22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23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24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25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26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27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1E9182ED-FC5C-48F8-98CA-CAEDAE0A0CF2}" xr6:coauthVersionLast="47" xr6:coauthVersionMax="47" xr10:uidLastSave="{00000000-0000-0000-0000-000000000000}"/>
  <bookViews>
    <workbookView xWindow="-120" yWindow="-120" windowWidth="29040" windowHeight="15840" tabRatio="782" firstSheet="3" activeTab="16" xr2:uid="{B74AC252-927F-4C09-A505-39545D92C6DB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esses_BASE" sheetId="31" r:id="rId14"/>
    <sheet name="ANSv2-692-ProcData" sheetId="25" state="veryHidden" r:id="rId15"/>
    <sheet name="ProcData_PGM" sheetId="56" r:id="rId16"/>
    <sheet name="PGM methodology" sheetId="65" r:id="rId17"/>
    <sheet name="Production of minerals" sheetId="61" r:id="rId18"/>
    <sheet name="Energy data" sheetId="62" r:id="rId19"/>
    <sheet name="Students report" sheetId="63" r:id="rId20"/>
    <sheet name="Mudd 2009 paper" sheetId="64" r:id="rId21"/>
    <sheet name="Sheet1" sheetId="71" r:id="rId22"/>
    <sheet name="Waterberg project" sheetId="70" r:id="rId23"/>
    <sheet name="Costs" sheetId="66" r:id="rId24"/>
    <sheet name="Students worksheet" sheetId="67" r:id="rId25"/>
    <sheet name="Minerals council report 2017" sheetId="68" r:id="rId26"/>
    <sheet name="Brunos EB" sheetId="69" r:id="rId27"/>
    <sheet name="ANSv2-692-ConstrData" sheetId="24" state="veryHidden" r:id="rId28"/>
    <sheet name="ANSv2-692-ITEMS" sheetId="10" state="veryHidden" r:id="rId29"/>
    <sheet name="ANSv2-692-TS DATA" sheetId="12" state="veryHidden" r:id="rId30"/>
    <sheet name="ANSv2-692-TID DATA" sheetId="13" state="veryHidden" r:id="rId31"/>
    <sheet name="ANSv2-692-TS&amp;TID DATA" sheetId="14" state="veryHidden" r:id="rId32"/>
    <sheet name="ANSv2-692-TS TRADE" sheetId="15" state="veryHidden" r:id="rId33"/>
    <sheet name="ANSv2-692-TID TRADE" sheetId="16" state="veryHidden" r:id="rId34"/>
    <sheet name="ANSv2-692-TS&amp;TID TRADE" sheetId="17" state="veryHidden" r:id="rId35"/>
  </sheets>
  <externalReferences>
    <externalReference r:id="rId36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70" l="1"/>
  <c r="D21" i="27" l="1"/>
  <c r="D20" i="27"/>
  <c r="F4" i="27"/>
  <c r="Q19" i="56"/>
  <c r="P19" i="56"/>
  <c r="O19" i="56"/>
  <c r="L56" i="65" l="1"/>
  <c r="L55" i="65"/>
  <c r="L54" i="65" l="1"/>
  <c r="N26" i="70"/>
  <c r="L66" i="70"/>
  <c r="L67" i="70"/>
  <c r="Y14" i="56" l="1"/>
  <c r="Y20" i="56" s="1"/>
  <c r="X13" i="56"/>
  <c r="X19" i="56" s="1"/>
  <c r="F20" i="56"/>
  <c r="F19" i="56"/>
  <c r="E18" i="56"/>
  <c r="E17" i="56"/>
  <c r="E16" i="56"/>
  <c r="E15" i="56"/>
  <c r="D15" i="56"/>
  <c r="C15" i="56"/>
  <c r="B15" i="56"/>
  <c r="F8" i="30"/>
  <c r="G8" i="30"/>
  <c r="H8" i="30"/>
  <c r="I8" i="30"/>
  <c r="J8" i="30"/>
  <c r="F9" i="30"/>
  <c r="G9" i="30"/>
  <c r="H9" i="30"/>
  <c r="I9" i="30"/>
  <c r="J9" i="30"/>
  <c r="E9" i="30"/>
  <c r="E8" i="30"/>
  <c r="G4" i="65"/>
  <c r="H4" i="65"/>
  <c r="I4" i="65"/>
  <c r="I38" i="65" s="1"/>
  <c r="M31" i="71"/>
  <c r="L31" i="71"/>
  <c r="L30" i="71"/>
  <c r="W65" i="64"/>
  <c r="G38" i="65" l="1"/>
  <c r="I39" i="65"/>
  <c r="H39" i="65"/>
  <c r="H38" i="65"/>
  <c r="G39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H10" i="27"/>
  <c r="B10" i="27"/>
  <c r="A10" i="27"/>
  <c r="L4" i="65"/>
  <c r="L39" i="65" s="1"/>
  <c r="K4" i="65"/>
  <c r="K39" i="65" s="1"/>
  <c r="J4" i="65"/>
  <c r="J39" i="65" s="1"/>
  <c r="F14" i="56"/>
  <c r="Y5" i="56" s="1"/>
  <c r="J38" i="65" l="1"/>
  <c r="K38" i="65"/>
  <c r="L38" i="65"/>
  <c r="V44" i="65"/>
  <c r="B5" i="27"/>
  <c r="A5" i="27"/>
  <c r="D19" i="27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1" i="65" l="1"/>
  <c r="G21" i="65"/>
  <c r="H21" i="65"/>
  <c r="I21" i="65"/>
  <c r="K21" i="65"/>
  <c r="L21" i="65"/>
  <c r="U21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O7" i="66"/>
  <c r="L7" i="66"/>
  <c r="U5" i="66"/>
  <c r="T5" i="66"/>
  <c r="E6" i="66" s="1"/>
  <c r="X46" i="65"/>
  <c r="W46" i="65"/>
  <c r="AA64" i="64"/>
  <c r="F8" i="65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32" i="65"/>
  <c r="I32" i="65"/>
  <c r="G32" i="65"/>
  <c r="H33" i="65"/>
  <c r="G33" i="65"/>
  <c r="I33" i="65"/>
  <c r="L33" i="65"/>
  <c r="J33" i="65"/>
  <c r="K33" i="65"/>
  <c r="J32" i="65"/>
  <c r="L32" i="65"/>
  <c r="K32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44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G13" i="65" l="1"/>
  <c r="H13" i="65"/>
  <c r="I13" i="65"/>
  <c r="H24" i="65"/>
  <c r="I24" i="65"/>
  <c r="G24" i="65"/>
  <c r="J24" i="65"/>
  <c r="K24" i="65"/>
  <c r="L24" i="65"/>
  <c r="L13" i="65"/>
  <c r="K13" i="65"/>
  <c r="J13" i="65"/>
  <c r="P24" i="67"/>
  <c r="X45" i="65"/>
  <c r="P25" i="67"/>
  <c r="X44" i="65"/>
  <c r="W44" i="65"/>
  <c r="R25" i="67"/>
  <c r="AG54" i="67"/>
  <c r="Q24" i="67"/>
  <c r="Y45" i="65"/>
  <c r="O24" i="67"/>
  <c r="V45" i="65"/>
  <c r="V12" i="67"/>
  <c r="P54" i="67"/>
  <c r="P55" i="67" s="1"/>
  <c r="T12" i="67"/>
  <c r="R12" i="67"/>
  <c r="E27" i="61"/>
  <c r="R24" i="67"/>
  <c r="W45" i="65"/>
  <c r="O25" i="67"/>
  <c r="V11" i="67"/>
  <c r="U11" i="67"/>
  <c r="R11" i="67"/>
  <c r="O54" i="67"/>
  <c r="G27" i="65" l="1"/>
  <c r="I27" i="65"/>
  <c r="H27" i="65"/>
  <c r="I29" i="65"/>
  <c r="G29" i="65"/>
  <c r="H29" i="65"/>
  <c r="I22" i="65"/>
  <c r="G22" i="65"/>
  <c r="H22" i="65"/>
  <c r="I23" i="65"/>
  <c r="H23" i="65"/>
  <c r="H44" i="65" s="1"/>
  <c r="G23" i="65"/>
  <c r="I28" i="65"/>
  <c r="G28" i="65"/>
  <c r="H28" i="65"/>
  <c r="G26" i="65"/>
  <c r="I26" i="65"/>
  <c r="H26" i="65"/>
  <c r="J26" i="65"/>
  <c r="K26" i="65"/>
  <c r="L26" i="65"/>
  <c r="U22" i="65" s="1"/>
  <c r="J22" i="65"/>
  <c r="L22" i="65"/>
  <c r="K22" i="65"/>
  <c r="L28" i="65"/>
  <c r="K28" i="65"/>
  <c r="J28" i="65"/>
  <c r="J27" i="65"/>
  <c r="K27" i="65"/>
  <c r="L27" i="65"/>
  <c r="L29" i="65"/>
  <c r="J29" i="65"/>
  <c r="K29" i="65"/>
  <c r="L23" i="65"/>
  <c r="K23" i="65"/>
  <c r="J23" i="65"/>
  <c r="V46" i="65"/>
  <c r="O23" i="67"/>
  <c r="F24" i="61"/>
  <c r="F27" i="61"/>
  <c r="F25" i="61"/>
  <c r="F22" i="61"/>
  <c r="F26" i="61"/>
  <c r="T54" i="67"/>
  <c r="O55" i="67"/>
  <c r="T55" i="67" s="1"/>
  <c r="F23" i="61"/>
  <c r="Y46" i="65"/>
  <c r="Q23" i="67"/>
  <c r="O22" i="67"/>
  <c r="V47" i="65"/>
  <c r="W47" i="65"/>
  <c r="R22" i="67"/>
  <c r="I37" i="65" l="1"/>
  <c r="I43" i="65" s="1"/>
  <c r="H37" i="65"/>
  <c r="H43" i="65" s="1"/>
  <c r="G37" i="65"/>
  <c r="G43" i="65" s="1"/>
  <c r="G31" i="65"/>
  <c r="I31" i="65"/>
  <c r="H31" i="65"/>
  <c r="G36" i="65"/>
  <c r="G42" i="65" s="1"/>
  <c r="I36" i="65"/>
  <c r="H36" i="65"/>
  <c r="I44" i="65"/>
  <c r="G34" i="65"/>
  <c r="G45" i="65" s="1"/>
  <c r="I34" i="65"/>
  <c r="I45" i="65" s="1"/>
  <c r="H34" i="65"/>
  <c r="H45" i="65" s="1"/>
  <c r="G44" i="65"/>
  <c r="J37" i="65"/>
  <c r="L37" i="65"/>
  <c r="L43" i="65" s="1"/>
  <c r="K37" i="65"/>
  <c r="K43" i="65" s="1"/>
  <c r="J43" i="65"/>
  <c r="J44" i="65"/>
  <c r="J31" i="65"/>
  <c r="J42" i="65" s="1"/>
  <c r="J47" i="65" s="1"/>
  <c r="K31" i="65"/>
  <c r="L31" i="65"/>
  <c r="U23" i="65" s="1"/>
  <c r="L34" i="65"/>
  <c r="L45" i="65" s="1"/>
  <c r="J34" i="65"/>
  <c r="J45" i="65" s="1"/>
  <c r="K34" i="65"/>
  <c r="K45" i="65" s="1"/>
  <c r="L44" i="65"/>
  <c r="K44" i="65"/>
  <c r="J36" i="65"/>
  <c r="L36" i="65"/>
  <c r="K36" i="65"/>
  <c r="I13" i="56"/>
  <c r="C14" i="29"/>
  <c r="B14" i="29"/>
  <c r="I42" i="65" l="1"/>
  <c r="I47" i="65" s="1"/>
  <c r="G47" i="65"/>
  <c r="K42" i="65"/>
  <c r="K47" i="65" s="1"/>
  <c r="H42" i="65"/>
  <c r="H47" i="65" s="1"/>
  <c r="U24" i="65"/>
  <c r="L42" i="65"/>
  <c r="L47" i="65" s="1"/>
  <c r="C9" i="30"/>
  <c r="B9" i="30"/>
  <c r="B8" i="27"/>
  <c r="E9" i="56"/>
  <c r="E10" i="56"/>
  <c r="E11" i="56"/>
  <c r="C11" i="31"/>
  <c r="B11" i="31"/>
  <c r="C8" i="30"/>
  <c r="B8" i="30"/>
  <c r="C9" i="29"/>
  <c r="B9" i="29"/>
  <c r="B7" i="27"/>
  <c r="A7" i="27"/>
  <c r="A8" i="27"/>
  <c r="B9" i="27"/>
  <c r="A9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E11" i="60"/>
  <c r="A2" i="56"/>
  <c r="A2" i="31"/>
  <c r="A2" i="30"/>
  <c r="D8" i="60" s="1"/>
  <c r="A2" i="29"/>
  <c r="E7" i="60"/>
  <c r="D11" i="60" l="1"/>
  <c r="D9" i="60"/>
  <c r="K13" i="56"/>
  <c r="D7" i="60"/>
  <c r="A1" i="56" l="1"/>
  <c r="A1" i="29"/>
  <c r="A1" i="30"/>
  <c r="A1" i="31"/>
  <c r="D9" i="56" l="1"/>
  <c r="A8" i="56"/>
  <c r="B1" i="56"/>
  <c r="I8" i="27"/>
  <c r="I10" i="27" s="1"/>
  <c r="H8" i="27"/>
  <c r="B4" i="27"/>
  <c r="A4" i="27"/>
  <c r="C4" i="27"/>
  <c r="S5" i="56" l="1"/>
  <c r="X5" i="56" s="1"/>
  <c r="B9" i="31"/>
  <c r="B9" i="56" s="1"/>
  <c r="H7" i="27"/>
  <c r="H9" i="27" s="1"/>
  <c r="D4" i="27"/>
  <c r="C9" i="31" l="1"/>
  <c r="C9" i="56" s="1"/>
  <c r="I7" i="27"/>
  <c r="I9" i="27" s="1"/>
  <c r="B1" i="31" l="1"/>
  <c r="B1" i="30"/>
  <c r="V22" i="65" l="1"/>
  <c r="V24" i="65"/>
  <c r="W29" i="65"/>
  <c r="V29" i="65"/>
  <c r="D28" i="27"/>
  <c r="D27" i="27"/>
  <c r="V23" i="65"/>
  <c r="W34" i="65"/>
  <c r="N47" i="65" l="1"/>
  <c r="D25" i="27"/>
  <c r="K7" i="27" s="1"/>
  <c r="T9" i="56" s="1"/>
  <c r="T15" i="56" s="1"/>
  <c r="D26" i="27"/>
  <c r="K8" i="27" s="1"/>
  <c r="U10" i="56" s="1"/>
  <c r="U16" i="56" s="1"/>
  <c r="V21" i="65"/>
  <c r="E11" i="66"/>
  <c r="E12" i="66" s="1"/>
  <c r="E16" i="66" s="1"/>
  <c r="K9" i="27"/>
  <c r="V11" i="56" s="1"/>
  <c r="V17" i="56" s="1"/>
  <c r="K10" i="27"/>
  <c r="W12" i="56" s="1"/>
  <c r="W18" i="56" s="1"/>
  <c r="D29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<sst xmlns="http://schemas.openxmlformats.org/spreadsheetml/2006/main" count="1136" uniqueCount="563">
  <si>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</si>
  <si>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</si>
  <si>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</si>
  <si>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</si>
  <si>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</si>
  <si>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</si>
  <si>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</si>
  <si>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</si>
  <si>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</si>
  <si>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</si>
  <si>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</si>
  <si>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</si>
  <si>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</si>
  <si>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</si>
  <si>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</si>
  <si>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</si>
  <si>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</si>
  <si>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</si>
  <si>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</si>
  <si>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</si>
  <si>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</si>
  <si>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</si>
  <si>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</si>
  <si>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</si>
  <si>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</si>
  <si>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</si>
  <si>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</si>
  <si>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</si>
  <si>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</si>
  <si>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</si>
  <si>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</si>
  <si>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</si>
  <si>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</si>
  <si>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</si>
  <si>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</si>
  <si>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</si>
  <si>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</si>
  <si>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</si>
  <si>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</si>
  <si>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</si>
  <si>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</si>
  <si>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</si>
  <si>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</si>
  <si>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</si>
  <si>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</si>
  <si>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</si>
  <si>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</si>
  <si>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</si>
  <si>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</si>
  <si>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</si>
  <si>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</si>
  <si>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</si>
  <si>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</si>
  <si>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</si>
  <si>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</si>
  <si>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</si>
  <si>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</si>
  <si>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</si>
  <si>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</si>
  <si>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</si>
  <si>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</si>
  <si>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</si>
  <si>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</si>
  <si>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</si>
  <si>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</si>
  <si>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</si>
  <si>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</si>
  <si>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</si>
  <si>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</si>
  <si>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</si>
  <si>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</si>
  <si>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</si>
  <si>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</si>
  <si>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</si>
  <si>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</si>
  <si>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</si>
  <si>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</si>
  <si>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</si>
  <si>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</si>
  <si>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</si>
  <si>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</si>
  <si>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</si>
  <si>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</si>
  <si>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</si>
  <si>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</si>
  <si>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</si>
  <si>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</si>
  <si>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</si>
  <si>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</si>
  <si>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</si>
  <si>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</si>
  <si>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</si>
  <si>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</si>
  <si>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</si>
  <si>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</si>
  <si>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</si>
  <si>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</si>
  <si>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</si>
  <si>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</si>
  <si>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</si>
  <si>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</si>
  <si>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</si>
  <si>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</si>
  <si>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</si>
  <si>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</si>
  <si>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</si>
  <si>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</si>
  <si>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</si>
  <si>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</si>
  <si>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</si>
  <si>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</si>
  <si>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</si>
  <si>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</si>
  <si>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</si>
  <si>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</si>
  <si>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</si>
  <si>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</si>
  <si>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</si>
  <si>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</si>
  <si>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</si>
  <si>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</si>
  <si>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</si>
  <si>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</si>
  <si>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</si>
  <si>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</si>
  <si>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</si>
  <si>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</si>
  <si>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</si>
  <si>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</si>
  <si>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</si>
  <si>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</si>
  <si>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</si>
  <si>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</si>
  <si>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</si>
  <si>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</si>
  <si>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</si>
  <si>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</si>
  <si>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</si>
  <si>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</si>
  <si>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</si>
  <si>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</si>
  <si>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</si>
  <si>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</si>
  <si>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</si>
  <si>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</si>
  <si>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</si>
  <si>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</si>
  <si>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</si>
  <si>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</si>
  <si>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</si>
  <si>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</si>
  <si>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</si>
  <si>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</si>
  <si>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</si>
  <si>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</si>
  <si>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</si>
  <si>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</si>
  <si>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</si>
  <si>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</si>
  <si>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</si>
  <si>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</si>
  <si>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</si>
  <si>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</si>
  <si>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</si>
  <si>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</si>
  <si>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</si>
  <si>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</si>
  <si>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</si>
  <si>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COM,DEM,ANNUAL,RES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</si>
  <si>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</si>
  <si>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</si>
  <si>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</si>
  <si>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</si>
  <si>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</si>
  <si>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</si>
  <si>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</si>
  <si>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</si>
  <si>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</si>
  <si>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</si>
  <si>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</si>
  <si>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</si>
  <si>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</si>
  <si>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</si>
  <si>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</si>
  <si>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</si>
  <si>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</si>
  <si>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</si>
  <si>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Production Mt</t>
  </si>
  <si>
    <t>FLO_FUNC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</si>
  <si>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</si>
  <si>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</si>
  <si>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</si>
  <si>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</si>
  <si>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</si>
  <si>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</si>
  <si>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</si>
  <si>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</si>
  <si>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</si>
  <si>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</si>
  <si>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</si>
  <si>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</si>
  <si>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</si>
  <si>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</si>
  <si>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</si>
  <si>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</si>
  <si>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</si>
  <si>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</si>
  <si>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</si>
  <si>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</si>
  <si>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</si>
  <si>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</si>
  <si>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</si>
  <si>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</si>
  <si>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</si>
  <si>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</si>
  <si>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</si>
  <si>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</si>
  <si>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</si>
  <si>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</si>
  <si>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</si>
  <si>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</si>
  <si>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</si>
  <si>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</si>
  <si>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</si>
  <si>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</si>
  <si>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</si>
  <si>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</si>
  <si>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</si>
  <si>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</si>
  <si>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</si>
  <si>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</si>
  <si>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</si>
  <si>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</si>
  <si>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</si>
  <si>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</si>
  <si>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</si>
  <si>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</si>
  <si>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</si>
  <si>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</si>
  <si>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</si>
  <si>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</si>
  <si>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</si>
  <si>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</si>
  <si>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</si>
  <si>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</si>
  <si>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</si>
  <si>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</si>
  <si>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</si>
  <si>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</si>
  <si>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</si>
  <si>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</si>
  <si>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</si>
  <si>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</si>
  <si>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</si>
  <si>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</si>
  <si>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</si>
  <si>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</si>
  <si>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</si>
  <si>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</si>
  <si>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</si>
  <si>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</si>
  <si>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</si>
  <si>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</si>
  <si>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</si>
  <si>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</si>
  <si>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</si>
  <si>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</si>
  <si>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</si>
  <si>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</si>
  <si>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</si>
  <si>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</si>
  <si>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</si>
  <si>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</si>
  <si>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</si>
  <si>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</si>
  <si>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</si>
  <si>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</si>
  <si>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</si>
  <si>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</si>
  <si>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</si>
  <si>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</si>
  <si>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</si>
  <si>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</si>
  <si>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</si>
  <si>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</si>
  <si>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</si>
  <si>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</si>
  <si>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</si>
  <si>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</si>
  <si>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</si>
  <si>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</si>
  <si>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</si>
  <si>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</si>
  <si>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</si>
  <si>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</si>
  <si>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</si>
  <si>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</si>
  <si>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</si>
  <si>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</si>
  <si>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</si>
  <si>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</si>
  <si>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</si>
  <si>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</si>
  <si>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</si>
  <si>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</si>
  <si>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</si>
  <si>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</si>
  <si>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</si>
  <si>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</si>
  <si>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</si>
  <si>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</si>
  <si>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</si>
  <si>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</si>
  <si>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</si>
  <si>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</si>
  <si>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</si>
  <si>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</si>
  <si>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</si>
  <si>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</si>
  <si>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</si>
  <si>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</si>
  <si>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</si>
  <si>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</si>
  <si>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</si>
  <si>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</si>
  <si>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</si>
  <si>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</si>
  <si>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</si>
  <si>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</si>
  <si>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</si>
  <si>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</si>
  <si>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Oil LPG</t>
  </si>
  <si>
    <t>Biomass Wood</t>
  </si>
  <si>
    <t>Biomass Bagasse</t>
  </si>
  <si>
    <t>Waste</t>
  </si>
  <si>
    <t>Oil Paraffin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</si>
  <si>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</si>
  <si>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</si>
  <si>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</si>
  <si>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</si>
  <si>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</si>
  <si>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</si>
  <si>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</si>
  <si>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</si>
  <si>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</si>
  <si>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</si>
  <si>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</si>
  <si>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</si>
  <si>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</si>
  <si>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</si>
  <si>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</si>
  <si>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</si>
  <si>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</si>
  <si>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</si>
  <si>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</si>
  <si>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</si>
  <si>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</si>
  <si>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</si>
  <si>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</si>
  <si>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</si>
  <si>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</si>
  <si>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</si>
  <si>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</si>
  <si>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</si>
  <si>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</si>
  <si>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</si>
  <si>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</si>
  <si>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</si>
  <si>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</si>
  <si>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</si>
  <si>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</si>
  <si>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</si>
  <si>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</si>
  <si>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</si>
  <si>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</si>
  <si>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</si>
  <si>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</si>
  <si>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</si>
  <si>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</si>
  <si>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</si>
  <si>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</si>
  <si>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</si>
  <si>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</si>
  <si>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</si>
  <si>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</si>
  <si>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</si>
  <si>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</si>
  <si>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</si>
  <si>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</si>
  <si>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</si>
  <si>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</si>
  <si>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</si>
  <si>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</si>
  <si>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</si>
  <si>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</si>
  <si>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</si>
  <si>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</si>
  <si>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</si>
  <si>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</si>
  <si>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</si>
  <si>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</si>
  <si>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</si>
  <si>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</si>
  <si>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</si>
  <si>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</si>
  <si>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</si>
  <si>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</si>
  <si>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</si>
  <si>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</si>
  <si>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</si>
  <si>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</si>
  <si>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</si>
  <si>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</si>
  <si>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</si>
  <si>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</si>
  <si>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</si>
  <si>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</si>
  <si>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</si>
  <si>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</si>
  <si>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</si>
  <si>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</si>
  <si>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</si>
  <si>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</si>
  <si>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</si>
  <si>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</si>
  <si>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</si>
  <si>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</si>
  <si>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</si>
  <si>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</si>
  <si>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</si>
  <si>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</si>
  <si>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</si>
  <si>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</si>
  <si>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</si>
  <si>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</si>
  <si>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</si>
  <si>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</si>
  <si>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</si>
  <si>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</si>
  <si>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</si>
  <si>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</si>
  <si>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</si>
  <si>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</si>
  <si>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</si>
  <si>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</si>
  <si>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</si>
  <si>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</si>
  <si>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</si>
  <si>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</si>
  <si>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</si>
  <si>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</si>
  <si>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</si>
  <si>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</si>
  <si>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</si>
  <si>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</si>
  <si>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</si>
  <si>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</si>
  <si>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</si>
  <si>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</si>
  <si>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</si>
  <si>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</si>
  <si>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</si>
  <si>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</si>
  <si>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</si>
  <si>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</si>
  <si>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</si>
  <si>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</si>
  <si>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</si>
  <si>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</si>
  <si>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</si>
  <si>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</si>
  <si>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</si>
  <si>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</si>
  <si>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</si>
  <si>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</si>
  <si>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</si>
  <si>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</si>
  <si>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</si>
  <si>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</si>
  <si>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</si>
  <si>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</si>
  <si>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</si>
  <si>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</si>
  <si>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</si>
  <si>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</si>
  <si>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</si>
  <si>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</si>
  <si>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</si>
  <si>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</si>
  <si>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</si>
  <si>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</si>
  <si>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</si>
  <si>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</si>
  <si>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</si>
  <si>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</si>
  <si>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</si>
  <si>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</si>
  <si>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</si>
  <si>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</si>
  <si>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</si>
  <si>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</si>
  <si>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</si>
  <si>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</si>
  <si>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</si>
  <si>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</si>
  <si>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</si>
  <si>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</si>
  <si>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</si>
  <si>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</si>
  <si>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</si>
  <si>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</si>
  <si>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</si>
  <si>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</si>
  <si>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</si>
  <si>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</si>
  <si>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</si>
  <si>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</si>
  <si>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</si>
  <si>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</si>
  <si>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</si>
  <si>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</si>
  <si>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</si>
  <si>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</si>
  <si>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</si>
  <si>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</si>
  <si>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</si>
  <si>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</si>
  <si>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</si>
  <si>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</si>
  <si>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</si>
  <si>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</si>
  <si>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</si>
  <si>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</si>
  <si>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</si>
  <si>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</si>
  <si>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IISHHELC</t>
  </si>
  <si>
    <t>S1D1B1</t>
  </si>
  <si>
    <t>S1D1B2</t>
  </si>
  <si>
    <t>S1D1B3</t>
  </si>
  <si>
    <t>S2D1B1</t>
  </si>
  <si>
    <t>S2D1B2</t>
  </si>
  <si>
    <t>S2D1B3</t>
  </si>
  <si>
    <t>S2D1B5</t>
  </si>
  <si>
    <t>S2D1B4</t>
  </si>
  <si>
    <t>IISHHGN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</si>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</sst>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0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7" fillId="0" borderId="0" applyNumberFormat="0" applyFill="0" applyBorder="0" applyAlignment="0" applyProtection="0"/>
  </cellStyleXfs>
  <cellXfs count="343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34" fillId="0" borderId="0" xfId="2" applyFont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4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5" xfId="12" applyBorder="1"/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12" fillId="0" borderId="5" xfId="12" applyFont="1" applyBorder="1" applyAlignment="1">
      <alignment horizontal="center" textRotation="90"/>
    </xf>
    <xf numFmtId="0" fontId="43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7" fillId="0" borderId="0" xfId="2" applyFont="1" applyFill="1" applyAlignment="1">
      <alignment wrapText="1"/>
    </xf>
    <xf numFmtId="167" fontId="0" fillId="0" borderId="3" xfId="18" applyNumberFormat="1" applyFont="1" applyBorder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9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21" fillId="0" borderId="13" xfId="0" applyFont="1" applyBorder="1"/>
    <xf numFmtId="2" fontId="45" fillId="4" borderId="11" xfId="21" applyNumberFormat="1" applyBorder="1"/>
    <xf numFmtId="0" fontId="0" fillId="0" borderId="0" xfId="0" applyFill="1" applyBorder="1"/>
    <xf numFmtId="0" fontId="7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6" fillId="0" borderId="9" xfId="12" applyFont="1" applyBorder="1" applyAlignment="1">
      <alignment horizontal="center"/>
    </xf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5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5" fillId="4" borderId="2" xfId="21" applyNumberFormat="1" applyBorder="1"/>
    <xf numFmtId="0" fontId="5" fillId="0" borderId="0" xfId="12" applyFont="1"/>
    <xf numFmtId="2" fontId="0" fillId="0" borderId="0" xfId="0" applyNumberFormat="1"/>
    <xf numFmtId="0" fontId="30" fillId="0" borderId="0" xfId="23" applyFont="1"/>
    <xf numFmtId="0" fontId="4" fillId="0" borderId="0" xfId="23"/>
    <xf numFmtId="0" fontId="30" fillId="0" borderId="1" xfId="23" applyFont="1" applyBorder="1"/>
    <xf numFmtId="0" fontId="4" fillId="0" borderId="2" xfId="23" applyBorder="1"/>
    <xf numFmtId="0" fontId="4" fillId="0" borderId="3" xfId="23" applyBorder="1"/>
    <xf numFmtId="0" fontId="47" fillId="6" borderId="20" xfId="23" applyFont="1" applyFill="1" applyBorder="1" applyAlignment="1">
      <alignment horizontal="left" vertical="top" wrapText="1"/>
    </xf>
    <xf numFmtId="0" fontId="47" fillId="6" borderId="21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center" wrapText="1"/>
    </xf>
    <xf numFmtId="0" fontId="4" fillId="0" borderId="5" xfId="23" applyBorder="1"/>
    <xf numFmtId="0" fontId="48" fillId="7" borderId="20" xfId="23" applyFont="1" applyFill="1" applyBorder="1" applyAlignment="1">
      <alignment horizontal="left" vertical="center" wrapText="1"/>
    </xf>
    <xf numFmtId="0" fontId="48" fillId="7" borderId="21" xfId="23" applyFont="1" applyFill="1" applyBorder="1" applyAlignment="1">
      <alignment horizontal="left" vertical="center" wrapText="1"/>
    </xf>
    <xf numFmtId="1" fontId="47" fillId="7" borderId="21" xfId="23" applyNumberFormat="1" applyFont="1" applyFill="1" applyBorder="1" applyAlignment="1">
      <alignment horizontal="right" vertical="top" shrinkToFit="1"/>
    </xf>
    <xf numFmtId="1" fontId="47" fillId="7" borderId="21" xfId="23" applyNumberFormat="1" applyFont="1" applyFill="1" applyBorder="1" applyAlignment="1">
      <alignment horizontal="center" vertical="top" shrinkToFit="1"/>
    </xf>
    <xf numFmtId="0" fontId="47" fillId="0" borderId="20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left" vertical="top" wrapText="1"/>
    </xf>
    <xf numFmtId="0" fontId="47" fillId="0" borderId="21" xfId="23" applyFont="1" applyBorder="1" applyAlignment="1">
      <alignment horizontal="right" vertical="top" wrapText="1"/>
    </xf>
    <xf numFmtId="168" fontId="47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7" fillId="0" borderId="22" xfId="23" applyFont="1" applyBorder="1" applyAlignment="1">
      <alignment horizontal="right" vertical="top" wrapText="1"/>
    </xf>
    <xf numFmtId="0" fontId="47" fillId="0" borderId="23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left" vertical="top" wrapText="1"/>
    </xf>
    <xf numFmtId="0" fontId="47" fillId="0" borderId="24" xfId="23" applyFont="1" applyBorder="1" applyAlignment="1">
      <alignment horizontal="right" vertical="top" wrapText="1"/>
    </xf>
    <xf numFmtId="168" fontId="47" fillId="0" borderId="24" xfId="24" applyNumberFormat="1" applyFont="1" applyBorder="1" applyAlignment="1">
      <alignment horizontal="right" vertical="top" wrapText="1"/>
    </xf>
    <xf numFmtId="0" fontId="47" fillId="0" borderId="0" xfId="23" applyFont="1" applyAlignment="1">
      <alignment horizontal="right" vertical="top" wrapText="1"/>
    </xf>
    <xf numFmtId="0" fontId="4" fillId="0" borderId="4" xfId="23" applyBorder="1"/>
    <xf numFmtId="9" fontId="0" fillId="0" borderId="0" xfId="25" applyFont="1" applyBorder="1"/>
    <xf numFmtId="0" fontId="4" fillId="0" borderId="6" xfId="23" applyBorder="1"/>
    <xf numFmtId="0" fontId="4" fillId="0" borderId="7" xfId="23" applyBorder="1"/>
    <xf numFmtId="0" fontId="4" fillId="0" borderId="8" xfId="23" applyBorder="1"/>
    <xf numFmtId="0" fontId="4" fillId="0" borderId="1" xfId="23" applyBorder="1"/>
    <xf numFmtId="0" fontId="49" fillId="6" borderId="25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left" vertical="top" wrapText="1"/>
    </xf>
    <xf numFmtId="0" fontId="49" fillId="6" borderId="26" xfId="23" applyFont="1" applyFill="1" applyBorder="1" applyAlignment="1">
      <alignment horizontal="center" vertical="top" wrapText="1"/>
    </xf>
    <xf numFmtId="0" fontId="49" fillId="0" borderId="20" xfId="23" applyFont="1" applyBorder="1" applyAlignment="1">
      <alignment horizontal="left" vertical="center" wrapText="1"/>
    </xf>
    <xf numFmtId="169" fontId="49" fillId="0" borderId="21" xfId="23" applyNumberFormat="1" applyFont="1" applyBorder="1" applyAlignment="1">
      <alignment horizontal="center" vertical="center" shrinkToFit="1"/>
    </xf>
    <xf numFmtId="2" fontId="49" fillId="0" borderId="21" xfId="23" applyNumberFormat="1" applyFont="1" applyBorder="1" applyAlignment="1">
      <alignment horizontal="center" vertical="center" shrinkToFit="1"/>
    </xf>
    <xf numFmtId="1" fontId="49" fillId="0" borderId="21" xfId="23" applyNumberFormat="1" applyFont="1" applyBorder="1" applyAlignment="1">
      <alignment horizontal="center" vertical="center" shrinkToFit="1"/>
    </xf>
    <xf numFmtId="0" fontId="49" fillId="6" borderId="27" xfId="23" applyFont="1" applyFill="1" applyBorder="1" applyAlignment="1">
      <alignment horizontal="center" vertical="top" wrapText="1"/>
    </xf>
    <xf numFmtId="0" fontId="49" fillId="6" borderId="28" xfId="23" applyFont="1" applyFill="1" applyBorder="1" applyAlignment="1">
      <alignment horizontal="center" vertical="top" wrapText="1"/>
    </xf>
    <xf numFmtId="0" fontId="49" fillId="6" borderId="22" xfId="23" applyFont="1" applyFill="1" applyBorder="1" applyAlignment="1">
      <alignment horizontal="left" vertical="top" wrapText="1" indent="2"/>
    </xf>
    <xf numFmtId="0" fontId="49" fillId="0" borderId="29" xfId="23" applyFont="1" applyBorder="1" applyAlignment="1">
      <alignment horizontal="center" vertical="top" wrapText="1"/>
    </xf>
    <xf numFmtId="167" fontId="49" fillId="0" borderId="26" xfId="23" applyNumberFormat="1" applyFont="1" applyBorder="1" applyAlignment="1">
      <alignment horizontal="center" vertical="top" shrinkToFit="1"/>
    </xf>
    <xf numFmtId="0" fontId="49" fillId="0" borderId="33" xfId="23" applyFont="1" applyBorder="1" applyAlignment="1">
      <alignment horizontal="center" vertical="center" wrapText="1"/>
    </xf>
    <xf numFmtId="0" fontId="49" fillId="0" borderId="21" xfId="23" applyFont="1" applyBorder="1" applyAlignment="1">
      <alignment horizontal="center" vertical="center" wrapText="1"/>
    </xf>
    <xf numFmtId="167" fontId="49" fillId="0" borderId="21" xfId="23" applyNumberFormat="1" applyFont="1" applyBorder="1" applyAlignment="1">
      <alignment horizontal="center" vertical="center" shrinkToFit="1"/>
    </xf>
    <xf numFmtId="170" fontId="49" fillId="0" borderId="21" xfId="23" applyNumberFormat="1" applyFont="1" applyBorder="1" applyAlignment="1">
      <alignment horizontal="center" vertical="center" shrinkToFit="1"/>
    </xf>
    <xf numFmtId="10" fontId="49" fillId="0" borderId="21" xfId="23" applyNumberFormat="1" applyFont="1" applyBorder="1" applyAlignment="1">
      <alignment horizontal="center" vertical="center" shrinkToFit="1"/>
    </xf>
    <xf numFmtId="0" fontId="50" fillId="0" borderId="0" xfId="23" applyFont="1" applyAlignment="1">
      <alignment horizontal="center" vertical="center" wrapText="1"/>
    </xf>
    <xf numFmtId="0" fontId="49" fillId="6" borderId="26" xfId="23" applyFont="1" applyFill="1" applyBorder="1" applyAlignment="1">
      <alignment horizontal="left" vertical="top"/>
    </xf>
    <xf numFmtId="0" fontId="49" fillId="6" borderId="26" xfId="23" applyFont="1" applyFill="1" applyBorder="1" applyAlignment="1">
      <alignment horizontal="right" vertical="top"/>
    </xf>
    <xf numFmtId="0" fontId="49" fillId="0" borderId="21" xfId="23" applyFont="1" applyBorder="1" applyAlignment="1">
      <alignment horizontal="left" vertical="center"/>
    </xf>
    <xf numFmtId="165" fontId="49" fillId="0" borderId="21" xfId="23" applyNumberFormat="1" applyFont="1" applyBorder="1" applyAlignment="1">
      <alignment horizontal="right" vertical="center" shrinkToFit="1"/>
    </xf>
    <xf numFmtId="4" fontId="4" fillId="0" borderId="10" xfId="23" applyNumberFormat="1" applyBorder="1"/>
    <xf numFmtId="10" fontId="0" fillId="0" borderId="10" xfId="25" applyNumberFormat="1" applyFont="1" applyBorder="1"/>
    <xf numFmtId="0" fontId="51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4" fillId="0" borderId="0" xfId="23" applyNumberFormat="1"/>
    <xf numFmtId="168" fontId="0" fillId="0" borderId="7" xfId="24" applyNumberFormat="1" applyFont="1" applyBorder="1"/>
    <xf numFmtId="0" fontId="52" fillId="0" borderId="0" xfId="23" applyFont="1"/>
    <xf numFmtId="0" fontId="4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4" fillId="0" borderId="10" xfId="24" applyNumberFormat="1" applyFont="1" applyBorder="1"/>
    <xf numFmtId="43" fontId="4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4" fillId="0" borderId="0" xfId="23" applyNumberFormat="1"/>
    <xf numFmtId="9" fontId="4" fillId="0" borderId="0" xfId="23" applyNumberFormat="1"/>
    <xf numFmtId="10" fontId="4" fillId="0" borderId="0" xfId="23" applyNumberFormat="1"/>
    <xf numFmtId="169" fontId="53" fillId="0" borderId="0" xfId="23" applyNumberFormat="1" applyFont="1"/>
    <xf numFmtId="9" fontId="0" fillId="0" borderId="0" xfId="25" applyFont="1"/>
    <xf numFmtId="9" fontId="30" fillId="0" borderId="0" xfId="25" applyFont="1"/>
    <xf numFmtId="167" fontId="30" fillId="0" borderId="0" xfId="25" applyNumberFormat="1" applyFont="1"/>
    <xf numFmtId="2" fontId="4" fillId="0" borderId="0" xfId="23" applyNumberFormat="1"/>
    <xf numFmtId="2" fontId="30" fillId="0" borderId="0" xfId="23" applyNumberFormat="1" applyFont="1"/>
    <xf numFmtId="166" fontId="4" fillId="0" borderId="0" xfId="23" applyNumberFormat="1"/>
    <xf numFmtId="165" fontId="4" fillId="0" borderId="0" xfId="23" applyNumberFormat="1"/>
    <xf numFmtId="0" fontId="30" fillId="0" borderId="2" xfId="23" applyFont="1" applyBorder="1"/>
    <xf numFmtId="169" fontId="4" fillId="0" borderId="0" xfId="23" applyNumberFormat="1"/>
    <xf numFmtId="168" fontId="0" fillId="0" borderId="0" xfId="24" applyNumberFormat="1" applyFont="1"/>
    <xf numFmtId="43" fontId="4" fillId="0" borderId="0" xfId="23" applyNumberFormat="1"/>
    <xf numFmtId="22" fontId="4" fillId="0" borderId="4" xfId="23" applyNumberFormat="1" applyBorder="1"/>
    <xf numFmtId="168" fontId="4" fillId="0" borderId="0" xfId="23" applyNumberFormat="1"/>
    <xf numFmtId="0" fontId="54" fillId="0" borderId="0" xfId="23" applyFont="1"/>
    <xf numFmtId="168" fontId="54" fillId="0" borderId="0" xfId="23" applyNumberFormat="1" applyFont="1"/>
    <xf numFmtId="8" fontId="4" fillId="0" borderId="0" xfId="23" applyNumberFormat="1"/>
    <xf numFmtId="4" fontId="41" fillId="0" borderId="0" xfId="14" applyNumberFormat="1"/>
    <xf numFmtId="4" fontId="41" fillId="10" borderId="0" xfId="14" applyNumberFormat="1" applyFill="1"/>
    <xf numFmtId="4" fontId="41" fillId="11" borderId="0" xfId="14" applyNumberFormat="1" applyFill="1"/>
    <xf numFmtId="4" fontId="41" fillId="0" borderId="10" xfId="14" applyNumberFormat="1" applyBorder="1"/>
    <xf numFmtId="4" fontId="41" fillId="3" borderId="0" xfId="14" applyNumberFormat="1" applyFill="1"/>
    <xf numFmtId="4" fontId="41" fillId="0" borderId="10" xfId="14" quotePrefix="1" applyNumberFormat="1" applyBorder="1"/>
    <xf numFmtId="3" fontId="41" fillId="0" borderId="10" xfId="14" applyNumberFormat="1" applyBorder="1"/>
    <xf numFmtId="4" fontId="41" fillId="11" borderId="10" xfId="14" applyNumberFormat="1" applyFill="1" applyBorder="1"/>
    <xf numFmtId="4" fontId="41" fillId="12" borderId="10" xfId="14" applyNumberFormat="1" applyFill="1" applyBorder="1"/>
    <xf numFmtId="173" fontId="41" fillId="0" borderId="10" xfId="14" applyNumberFormat="1" applyBorder="1"/>
    <xf numFmtId="10" fontId="0" fillId="0" borderId="10" xfId="17" applyNumberFormat="1" applyFont="1" applyBorder="1"/>
    <xf numFmtId="3" fontId="41" fillId="0" borderId="10" xfId="14" applyNumberFormat="1" applyBorder="1" applyAlignment="1">
      <alignment vertical="center" wrapText="1"/>
    </xf>
    <xf numFmtId="0" fontId="41" fillId="0" borderId="0" xfId="14"/>
    <xf numFmtId="174" fontId="41" fillId="0" borderId="10" xfId="14" applyNumberFormat="1" applyBorder="1"/>
    <xf numFmtId="3" fontId="41" fillId="0" borderId="0" xfId="14" applyNumberFormat="1"/>
    <xf numFmtId="4" fontId="41" fillId="13" borderId="10" xfId="14" applyNumberFormat="1" applyFill="1" applyBorder="1"/>
    <xf numFmtId="3" fontId="41" fillId="13" borderId="10" xfId="14" applyNumberFormat="1" applyFill="1" applyBorder="1"/>
    <xf numFmtId="175" fontId="41" fillId="0" borderId="0" xfId="14" applyNumberFormat="1"/>
    <xf numFmtId="167" fontId="0" fillId="0" borderId="0" xfId="17" applyNumberFormat="1" applyFont="1"/>
    <xf numFmtId="176" fontId="41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1" fillId="15" borderId="0" xfId="14" applyNumberFormat="1" applyFill="1"/>
    <xf numFmtId="4" fontId="41" fillId="0" borderId="14" xfId="14" applyNumberFormat="1" applyBorder="1"/>
    <xf numFmtId="167" fontId="0" fillId="0" borderId="0" xfId="17" applyNumberFormat="1" applyFont="1" applyBorder="1"/>
    <xf numFmtId="0" fontId="3" fillId="0" borderId="5" xfId="12" applyFont="1" applyBorder="1" applyAlignment="1">
      <alignment horizontal="center" textRotation="90"/>
    </xf>
    <xf numFmtId="0" fontId="2" fillId="0" borderId="0" xfId="27"/>
    <xf numFmtId="0" fontId="30" fillId="0" borderId="0" xfId="27" applyFont="1"/>
    <xf numFmtId="2" fontId="2" fillId="0" borderId="0" xfId="27" applyNumberFormat="1"/>
    <xf numFmtId="9" fontId="0" fillId="0" borderId="0" xfId="28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167" fontId="4" fillId="0" borderId="0" xfId="18" applyNumberFormat="1" applyFont="1"/>
    <xf numFmtId="0" fontId="53" fillId="0" borderId="0" xfId="23" applyFont="1"/>
    <xf numFmtId="1" fontId="4" fillId="0" borderId="0" xfId="23" applyNumberFormat="1"/>
    <xf numFmtId="177" fontId="4" fillId="0" borderId="0" xfId="26" applyNumberFormat="1" applyFont="1"/>
    <xf numFmtId="43" fontId="30" fillId="0" borderId="0" xfId="23" applyNumberFormat="1" applyFont="1"/>
    <xf numFmtId="2" fontId="4" fillId="0" borderId="2" xfId="23" applyNumberFormat="1" applyBorder="1"/>
    <xf numFmtId="2" fontId="4" fillId="0" borderId="3" xfId="23" applyNumberFormat="1" applyBorder="1"/>
    <xf numFmtId="0" fontId="53" fillId="0" borderId="4" xfId="23" applyFont="1" applyBorder="1"/>
    <xf numFmtId="0" fontId="4" fillId="0" borderId="0" xfId="23" applyBorder="1"/>
    <xf numFmtId="0" fontId="30" fillId="0" borderId="0" xfId="23" applyFont="1" applyBorder="1"/>
    <xf numFmtId="0" fontId="30" fillId="0" borderId="5" xfId="23" applyFont="1" applyBorder="1"/>
    <xf numFmtId="166" fontId="4" fillId="0" borderId="0" xfId="23" applyNumberFormat="1" applyBorder="1"/>
    <xf numFmtId="166" fontId="4" fillId="0" borderId="5" xfId="23" applyNumberFormat="1" applyBorder="1"/>
    <xf numFmtId="0" fontId="2" fillId="3" borderId="5" xfId="12" applyFont="1" applyFill="1" applyBorder="1" applyAlignment="1">
      <alignment horizontal="center" textRotation="90"/>
    </xf>
    <xf numFmtId="0" fontId="57" fillId="0" borderId="0" xfId="29"/>
    <xf numFmtId="0" fontId="58" fillId="0" borderId="0" xfId="0" applyFont="1"/>
    <xf numFmtId="0" fontId="48" fillId="16" borderId="39" xfId="0" applyFont="1" applyFill="1" applyBorder="1" applyAlignment="1">
      <alignment horizontal="left" vertical="center" wrapText="1"/>
    </xf>
    <xf numFmtId="0" fontId="60" fillId="16" borderId="39" xfId="0" applyFont="1" applyFill="1" applyBorder="1" applyAlignment="1">
      <alignment horizontal="center" vertical="top" wrapText="1"/>
    </xf>
    <xf numFmtId="0" fontId="60" fillId="17" borderId="40" xfId="0" applyFont="1" applyFill="1" applyBorder="1" applyAlignment="1">
      <alignment horizontal="left" vertical="top" wrapText="1"/>
    </xf>
    <xf numFmtId="0" fontId="61" fillId="18" borderId="40" xfId="0" applyFont="1" applyFill="1" applyBorder="1" applyAlignment="1">
      <alignment horizontal="center" vertical="top" wrapText="1"/>
    </xf>
    <xf numFmtId="0" fontId="61" fillId="19" borderId="40" xfId="0" applyFont="1" applyFill="1" applyBorder="1" applyAlignment="1">
      <alignment horizontal="center" vertical="top" wrapText="1"/>
    </xf>
    <xf numFmtId="0" fontId="61" fillId="18" borderId="40" xfId="0" applyFont="1" applyFill="1" applyBorder="1" applyAlignment="1">
      <alignment horizontal="left" vertical="top" wrapText="1" indent="4"/>
    </xf>
    <xf numFmtId="0" fontId="62" fillId="17" borderId="41" xfId="0" applyFont="1" applyFill="1" applyBorder="1" applyAlignment="1">
      <alignment horizontal="left" vertical="top" wrapText="1"/>
    </xf>
    <xf numFmtId="178" fontId="59" fillId="18" borderId="41" xfId="0" applyNumberFormat="1" applyFont="1" applyFill="1" applyBorder="1" applyAlignment="1">
      <alignment horizontal="center" vertical="top" shrinkToFit="1"/>
    </xf>
    <xf numFmtId="0" fontId="59" fillId="18" borderId="4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right"/>
    </xf>
    <xf numFmtId="0" fontId="21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1" fillId="0" borderId="0" xfId="0" applyFont="1" applyAlignment="1">
      <alignment horizontal="left"/>
    </xf>
    <xf numFmtId="177" fontId="18" fillId="0" borderId="0" xfId="2" applyNumberFormat="1" applyFont="1"/>
    <xf numFmtId="15" fontId="0" fillId="0" borderId="0" xfId="0" applyNumberFormat="1"/>
    <xf numFmtId="0" fontId="21" fillId="0" borderId="0" xfId="0" applyFont="1" applyAlignment="1">
      <alignment wrapText="1"/>
    </xf>
    <xf numFmtId="2" fontId="0" fillId="3" borderId="0" xfId="0" applyNumberFormat="1" applyFill="1"/>
    <xf numFmtId="0" fontId="1" fillId="0" borderId="0" xfId="23" applyFont="1"/>
    <xf numFmtId="177" fontId="30" fillId="0" borderId="0" xfId="26" applyNumberFormat="1" applyFont="1"/>
    <xf numFmtId="1" fontId="0" fillId="0" borderId="0" xfId="0" applyNumberFormat="1"/>
    <xf numFmtId="4" fontId="1" fillId="0" borderId="0" xfId="23" applyNumberFormat="1" applyFont="1"/>
    <xf numFmtId="10" fontId="49" fillId="0" borderId="34" xfId="23" applyNumberFormat="1" applyFont="1" applyBorder="1" applyAlignment="1">
      <alignment horizontal="left" vertical="center" indent="2" shrinkToFit="1"/>
    </xf>
    <xf numFmtId="10" fontId="49" fillId="0" borderId="33" xfId="23" applyNumberFormat="1" applyFont="1" applyBorder="1" applyAlignment="1">
      <alignment horizontal="left" vertical="center" indent="2" shrinkToFit="1"/>
    </xf>
    <xf numFmtId="10" fontId="49" fillId="0" borderId="35" xfId="23" applyNumberFormat="1" applyFont="1" applyBorder="1" applyAlignment="1">
      <alignment horizontal="left" vertical="center" indent="2" shrinkToFit="1"/>
    </xf>
    <xf numFmtId="10" fontId="49" fillId="0" borderId="36" xfId="23" applyNumberFormat="1" applyFont="1" applyBorder="1" applyAlignment="1">
      <alignment horizontal="left" vertical="center" indent="2" shrinkToFit="1"/>
    </xf>
    <xf numFmtId="0" fontId="49" fillId="0" borderId="34" xfId="23" applyFont="1" applyBorder="1" applyAlignment="1">
      <alignment horizontal="center" vertical="center" wrapText="1"/>
    </xf>
    <xf numFmtId="0" fontId="49" fillId="0" borderId="33" xfId="23" applyFont="1" applyBorder="1" applyAlignment="1">
      <alignment horizontal="center" vertical="center" wrapText="1"/>
    </xf>
    <xf numFmtId="0" fontId="49" fillId="0" borderId="35" xfId="23" applyFont="1" applyBorder="1" applyAlignment="1">
      <alignment horizontal="center" vertical="center" wrapText="1"/>
    </xf>
    <xf numFmtId="0" fontId="49" fillId="0" borderId="36" xfId="23" applyFont="1" applyBorder="1" applyAlignment="1">
      <alignment horizontal="center" vertical="center" wrapText="1"/>
    </xf>
    <xf numFmtId="0" fontId="48" fillId="0" borderId="0" xfId="23" applyFont="1" applyAlignment="1">
      <alignment horizontal="left" wrapText="1"/>
    </xf>
    <xf numFmtId="0" fontId="48" fillId="0" borderId="5" xfId="23" applyFont="1" applyBorder="1" applyAlignment="1">
      <alignment horizontal="left" wrapText="1"/>
    </xf>
    <xf numFmtId="167" fontId="49" fillId="0" borderId="30" xfId="23" applyNumberFormat="1" applyFont="1" applyBorder="1" applyAlignment="1">
      <alignment horizontal="left" vertical="top" indent="2" shrinkToFit="1"/>
    </xf>
    <xf numFmtId="167" fontId="49" fillId="0" borderId="29" xfId="23" applyNumberFormat="1" applyFont="1" applyBorder="1" applyAlignment="1">
      <alignment horizontal="left" vertical="top" indent="2" shrinkToFit="1"/>
    </xf>
    <xf numFmtId="167" fontId="49" fillId="0" borderId="31" xfId="23" applyNumberFormat="1" applyFont="1" applyBorder="1" applyAlignment="1">
      <alignment horizontal="left" vertical="top" indent="2" shrinkToFit="1"/>
    </xf>
    <xf numFmtId="167" fontId="49" fillId="0" borderId="32" xfId="23" applyNumberFormat="1" applyFont="1" applyBorder="1" applyAlignment="1">
      <alignment horizontal="left" vertical="top" indent="2" shrinkToFit="1"/>
    </xf>
    <xf numFmtId="167" fontId="49" fillId="0" borderId="34" xfId="23" applyNumberFormat="1" applyFont="1" applyBorder="1" applyAlignment="1">
      <alignment horizontal="left" vertical="center" indent="2" shrinkToFit="1"/>
    </xf>
    <xf numFmtId="167" fontId="49" fillId="0" borderId="33" xfId="23" applyNumberFormat="1" applyFont="1" applyBorder="1" applyAlignment="1">
      <alignment horizontal="left" vertical="center" indent="2" shrinkToFit="1"/>
    </xf>
    <xf numFmtId="167" fontId="49" fillId="0" borderId="35" xfId="23" applyNumberFormat="1" applyFont="1" applyBorder="1" applyAlignment="1">
      <alignment horizontal="left" vertical="center" indent="2" shrinkToFit="1"/>
    </xf>
    <xf numFmtId="167" fontId="49" fillId="0" borderId="36" xfId="23" applyNumberFormat="1" applyFont="1" applyBorder="1" applyAlignment="1">
      <alignment horizontal="left" vertical="center" indent="2" shrinkToFit="1"/>
    </xf>
    <xf numFmtId="4" fontId="4" fillId="8" borderId="7" xfId="23" applyNumberFormat="1" applyFill="1" applyBorder="1" applyAlignment="1">
      <alignment horizontal="center"/>
    </xf>
    <xf numFmtId="4" fontId="55" fillId="14" borderId="0" xfId="14" applyNumberFormat="1" applyFont="1" applyFill="1" applyAlignment="1">
      <alignment horizontal="center"/>
    </xf>
    <xf numFmtId="4" fontId="41" fillId="8" borderId="7" xfId="14" applyNumberFormat="1" applyFill="1" applyBorder="1" applyAlignment="1">
      <alignment horizontal="center"/>
    </xf>
    <xf numFmtId="4" fontId="41" fillId="8" borderId="0" xfId="14" applyNumberFormat="1" applyFill="1" applyAlignment="1">
      <alignment horizontal="center"/>
    </xf>
    <xf numFmtId="4" fontId="41" fillId="14" borderId="0" xfId="14" applyNumberFormat="1" applyFill="1" applyAlignment="1">
      <alignment horizontal="center"/>
    </xf>
    <xf numFmtId="4" fontId="41" fillId="9" borderId="0" xfId="14" applyNumberFormat="1" applyFill="1" applyAlignment="1">
      <alignment horizontal="center"/>
    </xf>
    <xf numFmtId="4" fontId="41" fillId="3" borderId="0" xfId="14" applyNumberFormat="1" applyFill="1" applyAlignment="1">
      <alignment horizontal="left"/>
    </xf>
    <xf numFmtId="4" fontId="55" fillId="0" borderId="0" xfId="14" applyNumberFormat="1" applyFont="1" applyAlignment="1">
      <alignment horizontal="center"/>
    </xf>
    <xf numFmtId="4" fontId="55" fillId="0" borderId="13" xfId="14" applyNumberFormat="1" applyFont="1" applyBorder="1" applyAlignment="1">
      <alignment horizontal="center"/>
    </xf>
    <xf numFmtId="4" fontId="55" fillId="0" borderId="11" xfId="14" applyNumberFormat="1" applyFont="1" applyBorder="1" applyAlignment="1">
      <alignment horizontal="center"/>
    </xf>
    <xf numFmtId="4" fontId="41" fillId="0" borderId="10" xfId="14" applyNumberFormat="1" applyBorder="1" applyAlignment="1">
      <alignment horizontal="center"/>
    </xf>
    <xf numFmtId="4" fontId="55" fillId="0" borderId="10" xfId="14" applyNumberFormat="1" applyFont="1" applyBorder="1" applyAlignment="1">
      <alignment horizontal="center"/>
    </xf>
  </cellXfs>
  <cellStyles count="30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5" Type="http://schemas.openxmlformats.org/officeDocument/2006/relationships/chart" Target="../charts/chart1.xml"/><Relationship Id="rId4" Type="http://schemas.openxmlformats.org/officeDocument/2006/relationships/image" Target="../media/image57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7" Type="http://schemas.openxmlformats.org/officeDocument/2006/relationships/image" Target="../media/image39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Relationship Id="rId6" Type="http://schemas.openxmlformats.org/officeDocument/2006/relationships/image" Target="../media/image38.emf"/><Relationship Id="rId5" Type="http://schemas.openxmlformats.org/officeDocument/2006/relationships/image" Target="../media/image37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63.emf"/><Relationship Id="rId7" Type="http://schemas.openxmlformats.org/officeDocument/2006/relationships/image" Target="../media/image67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6" Type="http://schemas.openxmlformats.org/officeDocument/2006/relationships/image" Target="../media/image66.emf"/><Relationship Id="rId5" Type="http://schemas.openxmlformats.org/officeDocument/2006/relationships/image" Target="../media/image65.emf"/><Relationship Id="rId4" Type="http://schemas.openxmlformats.org/officeDocument/2006/relationships/image" Target="../media/image64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4" Type="http://schemas.openxmlformats.org/officeDocument/2006/relationships/image" Target="../media/image72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76.emf"/><Relationship Id="rId7" Type="http://schemas.openxmlformats.org/officeDocument/2006/relationships/image" Target="../media/image80.emf"/><Relationship Id="rId2" Type="http://schemas.openxmlformats.org/officeDocument/2006/relationships/image" Target="../media/image75.emf"/><Relationship Id="rId1" Type="http://schemas.openxmlformats.org/officeDocument/2006/relationships/image" Target="../media/image74.emf"/><Relationship Id="rId6" Type="http://schemas.openxmlformats.org/officeDocument/2006/relationships/image" Target="../media/image79.emf"/><Relationship Id="rId5" Type="http://schemas.openxmlformats.org/officeDocument/2006/relationships/image" Target="../media/image78.emf"/><Relationship Id="rId10" Type="http://schemas.openxmlformats.org/officeDocument/2006/relationships/image" Target="../media/image73.emf"/><Relationship Id="rId4" Type="http://schemas.openxmlformats.org/officeDocument/2006/relationships/image" Target="../media/image77.emf"/><Relationship Id="rId9" Type="http://schemas.openxmlformats.org/officeDocument/2006/relationships/image" Target="../media/image82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85.emf"/><Relationship Id="rId7" Type="http://schemas.openxmlformats.org/officeDocument/2006/relationships/image" Target="../media/image89.emf"/><Relationship Id="rId2" Type="http://schemas.openxmlformats.org/officeDocument/2006/relationships/image" Target="../media/image84.emf"/><Relationship Id="rId1" Type="http://schemas.openxmlformats.org/officeDocument/2006/relationships/image" Target="../media/image83.emf"/><Relationship Id="rId6" Type="http://schemas.openxmlformats.org/officeDocument/2006/relationships/image" Target="../media/image88.emf"/><Relationship Id="rId5" Type="http://schemas.openxmlformats.org/officeDocument/2006/relationships/image" Target="../media/image87.emf"/><Relationship Id="rId4" Type="http://schemas.openxmlformats.org/officeDocument/2006/relationships/image" Target="../media/image86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3" Type="http://schemas.openxmlformats.org/officeDocument/2006/relationships/image" Target="../media/image94.emf"/><Relationship Id="rId7" Type="http://schemas.openxmlformats.org/officeDocument/2006/relationships/image" Target="../media/image98.emf"/><Relationship Id="rId2" Type="http://schemas.openxmlformats.org/officeDocument/2006/relationships/image" Target="../media/image93.emf"/><Relationship Id="rId1" Type="http://schemas.openxmlformats.org/officeDocument/2006/relationships/image" Target="../media/image92.emf"/><Relationship Id="rId6" Type="http://schemas.openxmlformats.org/officeDocument/2006/relationships/image" Target="../media/image97.emf"/><Relationship Id="rId5" Type="http://schemas.openxmlformats.org/officeDocument/2006/relationships/image" Target="../media/image96.emf"/><Relationship Id="rId10" Type="http://schemas.openxmlformats.org/officeDocument/2006/relationships/image" Target="../media/image91.emf"/><Relationship Id="rId4" Type="http://schemas.openxmlformats.org/officeDocument/2006/relationships/image" Target="../media/image95.emf"/><Relationship Id="rId9" Type="http://schemas.openxmlformats.org/officeDocument/2006/relationships/image" Target="../media/image10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04.emf"/><Relationship Id="rId7" Type="http://schemas.openxmlformats.org/officeDocument/2006/relationships/image" Target="../media/image108.emf"/><Relationship Id="rId2" Type="http://schemas.openxmlformats.org/officeDocument/2006/relationships/image" Target="../media/image103.emf"/><Relationship Id="rId1" Type="http://schemas.openxmlformats.org/officeDocument/2006/relationships/image" Target="../media/image102.emf"/><Relationship Id="rId6" Type="http://schemas.openxmlformats.org/officeDocument/2006/relationships/image" Target="../media/image107.emf"/><Relationship Id="rId5" Type="http://schemas.openxmlformats.org/officeDocument/2006/relationships/image" Target="../media/image106.emf"/><Relationship Id="rId10" Type="http://schemas.openxmlformats.org/officeDocument/2006/relationships/image" Target="../media/image101.emf"/><Relationship Id="rId4" Type="http://schemas.openxmlformats.org/officeDocument/2006/relationships/image" Target="../media/image105.emf"/><Relationship Id="rId9" Type="http://schemas.openxmlformats.org/officeDocument/2006/relationships/image" Target="../media/image110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3" Type="http://schemas.openxmlformats.org/officeDocument/2006/relationships/image" Target="../media/image113.emf"/><Relationship Id="rId7" Type="http://schemas.openxmlformats.org/officeDocument/2006/relationships/image" Target="../media/image117.emf"/><Relationship Id="rId2" Type="http://schemas.openxmlformats.org/officeDocument/2006/relationships/image" Target="../media/image112.emf"/><Relationship Id="rId1" Type="http://schemas.openxmlformats.org/officeDocument/2006/relationships/image" Target="../media/image111.emf"/><Relationship Id="rId6" Type="http://schemas.openxmlformats.org/officeDocument/2006/relationships/image" Target="../media/image116.emf"/><Relationship Id="rId5" Type="http://schemas.openxmlformats.org/officeDocument/2006/relationships/image" Target="../media/image115.emf"/><Relationship Id="rId4" Type="http://schemas.openxmlformats.org/officeDocument/2006/relationships/image" Target="../media/image114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7.emf"/><Relationship Id="rId3" Type="http://schemas.openxmlformats.org/officeDocument/2006/relationships/image" Target="../media/image122.emf"/><Relationship Id="rId7" Type="http://schemas.openxmlformats.org/officeDocument/2006/relationships/image" Target="../media/image126.emf"/><Relationship Id="rId2" Type="http://schemas.openxmlformats.org/officeDocument/2006/relationships/image" Target="../media/image121.emf"/><Relationship Id="rId1" Type="http://schemas.openxmlformats.org/officeDocument/2006/relationships/image" Target="../media/image120.emf"/><Relationship Id="rId6" Type="http://schemas.openxmlformats.org/officeDocument/2006/relationships/image" Target="../media/image125.emf"/><Relationship Id="rId5" Type="http://schemas.openxmlformats.org/officeDocument/2006/relationships/image" Target="../media/image124.emf"/><Relationship Id="rId10" Type="http://schemas.openxmlformats.org/officeDocument/2006/relationships/image" Target="../media/image119.emf"/><Relationship Id="rId4" Type="http://schemas.openxmlformats.org/officeDocument/2006/relationships/image" Target="../media/image123.emf"/><Relationship Id="rId9" Type="http://schemas.openxmlformats.org/officeDocument/2006/relationships/image" Target="../media/image12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F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F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F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F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F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F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F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B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B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B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B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B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B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B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B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C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C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C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C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D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D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D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D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D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D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D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D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D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D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E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E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E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E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E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E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E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E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F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F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F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F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F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F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F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F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F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F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0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0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0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0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0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0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0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0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0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0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1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1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1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1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1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1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1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1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2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2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2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2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2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2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2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2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2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2017"/>
      <sheetName val="IND"/>
      <sheetName val="PAMS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4.5246489747494749</v>
          </cell>
          <cell r="S31">
            <v>32.653642004977343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6.6440578329725435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0.emf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65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2.emf"/><Relationship Id="rId12" Type="http://schemas.openxmlformats.org/officeDocument/2006/relationships/control" Target="../activeX/activeX51.xml"/><Relationship Id="rId17" Type="http://schemas.openxmlformats.org/officeDocument/2006/relationships/image" Target="../media/image67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53.xml"/><Relationship Id="rId20" Type="http://schemas.openxmlformats.org/officeDocument/2006/relationships/comments" Target="../comments6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48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5" Type="http://schemas.openxmlformats.org/officeDocument/2006/relationships/image" Target="../media/image66.emf"/><Relationship Id="rId10" Type="http://schemas.openxmlformats.org/officeDocument/2006/relationships/control" Target="../activeX/activeX50.xml"/><Relationship Id="rId19" Type="http://schemas.openxmlformats.org/officeDocument/2006/relationships/image" Target="../media/image68.emf"/><Relationship Id="rId4" Type="http://schemas.openxmlformats.org/officeDocument/2006/relationships/control" Target="../activeX/activeX47.xml"/><Relationship Id="rId9" Type="http://schemas.openxmlformats.org/officeDocument/2006/relationships/image" Target="../media/image63.emf"/><Relationship Id="rId14" Type="http://schemas.openxmlformats.org/officeDocument/2006/relationships/control" Target="../activeX/activeX52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0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6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71.emf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77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81.emf"/><Relationship Id="rId7" Type="http://schemas.openxmlformats.org/officeDocument/2006/relationships/image" Target="../media/image74.emf"/><Relationship Id="rId12" Type="http://schemas.openxmlformats.org/officeDocument/2006/relationships/control" Target="../activeX/activeX63.xml"/><Relationship Id="rId17" Type="http://schemas.openxmlformats.org/officeDocument/2006/relationships/image" Target="../media/image79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0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5" Type="http://schemas.openxmlformats.org/officeDocument/2006/relationships/image" Target="../media/image78.emf"/><Relationship Id="rId23" Type="http://schemas.openxmlformats.org/officeDocument/2006/relationships/image" Target="../media/image82.emf"/><Relationship Id="rId10" Type="http://schemas.openxmlformats.org/officeDocument/2006/relationships/control" Target="../activeX/activeX62.xml"/><Relationship Id="rId19" Type="http://schemas.openxmlformats.org/officeDocument/2006/relationships/image" Target="../media/image80.emf"/><Relationship Id="rId4" Type="http://schemas.openxmlformats.org/officeDocument/2006/relationships/control" Target="../activeX/activeX59.xml"/><Relationship Id="rId9" Type="http://schemas.openxmlformats.org/officeDocument/2006/relationships/image" Target="../media/image75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87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4.emf"/><Relationship Id="rId12" Type="http://schemas.openxmlformats.org/officeDocument/2006/relationships/control" Target="../activeX/activeX73.xml"/><Relationship Id="rId17" Type="http://schemas.openxmlformats.org/officeDocument/2006/relationships/image" Target="../media/image89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70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5" Type="http://schemas.openxmlformats.org/officeDocument/2006/relationships/image" Target="../media/image88.emf"/><Relationship Id="rId10" Type="http://schemas.openxmlformats.org/officeDocument/2006/relationships/control" Target="../activeX/activeX72.xml"/><Relationship Id="rId19" Type="http://schemas.openxmlformats.org/officeDocument/2006/relationships/image" Target="../media/image90.emf"/><Relationship Id="rId4" Type="http://schemas.openxmlformats.org/officeDocument/2006/relationships/control" Target="../activeX/activeX69.xml"/><Relationship Id="rId9" Type="http://schemas.openxmlformats.org/officeDocument/2006/relationships/image" Target="../media/image85.emf"/><Relationship Id="rId14" Type="http://schemas.openxmlformats.org/officeDocument/2006/relationships/control" Target="../activeX/activeX74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13" Type="http://schemas.openxmlformats.org/officeDocument/2006/relationships/control" Target="../activeX/activeX82.xml"/><Relationship Id="rId18" Type="http://schemas.openxmlformats.org/officeDocument/2006/relationships/image" Target="../media/image98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95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7.emf"/><Relationship Id="rId20" Type="http://schemas.openxmlformats.org/officeDocument/2006/relationships/image" Target="../media/image99.emf"/><Relationship Id="rId1" Type="http://schemas.openxmlformats.org/officeDocument/2006/relationships/drawing" Target="../drawings/drawing24.xml"/><Relationship Id="rId6" Type="http://schemas.openxmlformats.org/officeDocument/2006/relationships/image" Target="../media/image92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94.emf"/><Relationship Id="rId19" Type="http://schemas.openxmlformats.org/officeDocument/2006/relationships/control" Target="../activeX/activeX85.xml"/><Relationship Id="rId4" Type="http://schemas.openxmlformats.org/officeDocument/2006/relationships/image" Target="../media/image91.emf"/><Relationship Id="rId9" Type="http://schemas.openxmlformats.org/officeDocument/2006/relationships/control" Target="../activeX/activeX80.xml"/><Relationship Id="rId14" Type="http://schemas.openxmlformats.org/officeDocument/2006/relationships/image" Target="../media/image96.emf"/><Relationship Id="rId22" Type="http://schemas.openxmlformats.org/officeDocument/2006/relationships/image" Target="../media/image100.emf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3.emf"/><Relationship Id="rId13" Type="http://schemas.openxmlformats.org/officeDocument/2006/relationships/control" Target="../activeX/activeX92.xml"/><Relationship Id="rId18" Type="http://schemas.openxmlformats.org/officeDocument/2006/relationships/image" Target="../media/image108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105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7.emf"/><Relationship Id="rId20" Type="http://schemas.openxmlformats.org/officeDocument/2006/relationships/image" Target="../media/image109.emf"/><Relationship Id="rId1" Type="http://schemas.openxmlformats.org/officeDocument/2006/relationships/drawing" Target="../drawings/drawing25.xml"/><Relationship Id="rId6" Type="http://schemas.openxmlformats.org/officeDocument/2006/relationships/image" Target="../media/image102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104.emf"/><Relationship Id="rId19" Type="http://schemas.openxmlformats.org/officeDocument/2006/relationships/control" Target="../activeX/activeX95.xml"/><Relationship Id="rId4" Type="http://schemas.openxmlformats.org/officeDocument/2006/relationships/image" Target="../media/image101.emf"/><Relationship Id="rId9" Type="http://schemas.openxmlformats.org/officeDocument/2006/relationships/control" Target="../activeX/activeX90.xml"/><Relationship Id="rId14" Type="http://schemas.openxmlformats.org/officeDocument/2006/relationships/image" Target="../media/image106.emf"/><Relationship Id="rId22" Type="http://schemas.openxmlformats.org/officeDocument/2006/relationships/image" Target="../media/image110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15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12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17.emf"/><Relationship Id="rId2" Type="http://schemas.openxmlformats.org/officeDocument/2006/relationships/drawing" Target="../drawings/drawing26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8.xml"/><Relationship Id="rId11" Type="http://schemas.openxmlformats.org/officeDocument/2006/relationships/image" Target="../media/image114.emf"/><Relationship Id="rId5" Type="http://schemas.openxmlformats.org/officeDocument/2006/relationships/image" Target="../media/image111.emf"/><Relationship Id="rId15" Type="http://schemas.openxmlformats.org/officeDocument/2006/relationships/image" Target="../media/image116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18.emf"/><Relationship Id="rId4" Type="http://schemas.openxmlformats.org/officeDocument/2006/relationships/control" Target="../activeX/activeX97.xml"/><Relationship Id="rId9" Type="http://schemas.openxmlformats.org/officeDocument/2006/relationships/image" Target="../media/image113.emf"/><Relationship Id="rId14" Type="http://schemas.openxmlformats.org/officeDocument/2006/relationships/control" Target="../activeX/activeX102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23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7.emf"/><Relationship Id="rId7" Type="http://schemas.openxmlformats.org/officeDocument/2006/relationships/image" Target="../media/image120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25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6.xml"/><Relationship Id="rId11" Type="http://schemas.openxmlformats.org/officeDocument/2006/relationships/image" Target="../media/image122.emf"/><Relationship Id="rId5" Type="http://schemas.openxmlformats.org/officeDocument/2006/relationships/image" Target="../media/image119.emf"/><Relationship Id="rId15" Type="http://schemas.openxmlformats.org/officeDocument/2006/relationships/image" Target="../media/image124.emf"/><Relationship Id="rId23" Type="http://schemas.openxmlformats.org/officeDocument/2006/relationships/image" Target="../media/image128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26.emf"/><Relationship Id="rId4" Type="http://schemas.openxmlformats.org/officeDocument/2006/relationships/control" Target="../activeX/activeX105.xml"/><Relationship Id="rId9" Type="http://schemas.openxmlformats.org/officeDocument/2006/relationships/image" Target="../media/image121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J11"/>
  <sheetViews>
    <sheetView workbookViewId="0">
      <selection activeCell="H31" sqref="H31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0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0" ht="12.75" x14ac:dyDescent="0.2">
      <c r="A2" t="str">
        <f ca="1">MID(CELL("filename",A2),FIND("]",CELL("filename",A2))+1,255)</f>
        <v>CommData_BASE</v>
      </c>
      <c r="F2" s="53"/>
    </row>
    <row r="3" spans="1:10" ht="15" customHeight="1" x14ac:dyDescent="0.2">
      <c r="F3" s="53"/>
    </row>
    <row r="4" spans="1:10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</row>
    <row r="5" spans="1:10" ht="19.5" customHeight="1" x14ac:dyDescent="0.2">
      <c r="E5" s="63"/>
      <c r="F5" s="53"/>
    </row>
    <row r="6" spans="1:10" ht="19.5" customHeight="1" x14ac:dyDescent="0.2">
      <c r="E6" s="63"/>
      <c r="F6" s="53"/>
    </row>
    <row r="7" spans="1:10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</row>
    <row r="8" spans="1:10" s="53" customFormat="1" x14ac:dyDescent="0.2">
      <c r="B8" s="50" t="str">
        <f>RES!O2</f>
        <v>IPGM</v>
      </c>
      <c r="C8" s="50" t="str">
        <f>RES!O3</f>
        <v>Industry - PGMs - Platinum</v>
      </c>
      <c r="D8" s="50" t="s">
        <v>117</v>
      </c>
      <c r="E8" s="305">
        <f>'PGM methodology'!G12</f>
        <v>152.69952392131813</v>
      </c>
      <c r="F8" s="305">
        <f>'PGM methodology'!H12</f>
        <v>158.71131620168498</v>
      </c>
      <c r="G8" s="305">
        <f>'PGM methodology'!I12</f>
        <v>113.02169487089688</v>
      </c>
      <c r="H8" s="305">
        <f>'PGM methodology'!J12</f>
        <v>165.92546693812523</v>
      </c>
      <c r="I8" s="305">
        <f>'PGM methodology'!K12</f>
        <v>158.71131620168498</v>
      </c>
      <c r="J8" s="305">
        <f>'PGM methodology'!L12</f>
        <v>156.30659928953824</v>
      </c>
    </row>
    <row r="9" spans="1:10" s="53" customFormat="1" x14ac:dyDescent="0.2">
      <c r="B9" s="50" t="str">
        <f>RES!P2</f>
        <v>IPGMOP</v>
      </c>
      <c r="C9" s="50" t="str">
        <f>RES!P3</f>
        <v>Industry - PGMs - Other PGMs</v>
      </c>
      <c r="D9" s="50" t="s">
        <v>117</v>
      </c>
      <c r="E9" s="305">
        <f>'PGM methodology'!G13</f>
        <v>101.30047607868187</v>
      </c>
      <c r="F9" s="305">
        <f>'PGM methodology'!H13</f>
        <v>105.28868379831502</v>
      </c>
      <c r="G9" s="305">
        <f>'PGM methodology'!I13</f>
        <v>74.97830512910312</v>
      </c>
      <c r="H9" s="305">
        <f>'PGM methodology'!J13</f>
        <v>110.07453306187479</v>
      </c>
      <c r="I9" s="305">
        <f>'PGM methodology'!K13</f>
        <v>105.28868379831502</v>
      </c>
      <c r="J9" s="305">
        <f>'PGM methodology'!L13</f>
        <v>103.69340071046176</v>
      </c>
    </row>
    <row r="10" spans="1:10" s="53" customFormat="1" x14ac:dyDescent="0.2"/>
    <row r="11" spans="1:10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>
      <selection activeCell="B11" sqref="B11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x14ac:dyDescent="0.2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1" t="s">
        <v>134</v>
      </c>
    </row>
    <row r="10" spans="1:6" s="53" customFormat="1" x14ac:dyDescent="0.2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1" t="s">
        <v>134</v>
      </c>
    </row>
    <row r="11" spans="1:6" s="53" customFormat="1" ht="12" x14ac:dyDescent="0.2">
      <c r="A11" s="59" t="s">
        <v>92</v>
      </c>
      <c r="B11" s="50">
        <f>RES!M22</f>
        <v>0</v>
      </c>
      <c r="C11" s="50">
        <f>RES!M18</f>
        <v>0</v>
      </c>
      <c r="D11" s="29" t="s">
        <v>123</v>
      </c>
      <c r="E11" s="31" t="s">
        <v>134</v>
      </c>
    </row>
    <row r="12" spans="1:6" s="53" customFormat="1" ht="12" x14ac:dyDescent="0.2">
      <c r="A12" s="59"/>
      <c r="B12" s="59"/>
      <c r="C12" s="59"/>
      <c r="D12" s="59"/>
      <c r="E12" s="58"/>
    </row>
    <row r="13" spans="1:6" s="53" customFormat="1" ht="12" x14ac:dyDescent="0.2">
      <c r="A13" s="59"/>
      <c r="B13" s="50"/>
      <c r="C13" s="50"/>
      <c r="D13" s="29"/>
      <c r="E13" s="29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Y21"/>
  <sheetViews>
    <sheetView workbookViewId="0">
      <selection activeCell="I13" sqref="I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2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5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25" ht="34.5" customHeight="1" x14ac:dyDescent="0.2">
      <c r="A3" s="22"/>
      <c r="H3" s="119" t="s">
        <v>150</v>
      </c>
      <c r="I3" s="119" t="s">
        <v>146</v>
      </c>
      <c r="J3" s="119" t="s">
        <v>146</v>
      </c>
      <c r="K3" s="119" t="s">
        <v>146</v>
      </c>
      <c r="L3" s="119" t="s">
        <v>158</v>
      </c>
      <c r="M3" s="119" t="s">
        <v>158</v>
      </c>
      <c r="N3" s="119"/>
      <c r="O3" s="119"/>
      <c r="P3" s="119"/>
      <c r="Q3" s="119"/>
      <c r="R3" s="119" t="s">
        <v>149</v>
      </c>
      <c r="S3" s="12" t="s">
        <v>147</v>
      </c>
      <c r="T3" s="12" t="s">
        <v>148</v>
      </c>
    </row>
    <row r="4" spans="1:25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7" t="s">
        <v>159</v>
      </c>
      <c r="M4" s="117" t="s">
        <v>159</v>
      </c>
      <c r="N4" s="117" t="s">
        <v>546</v>
      </c>
      <c r="O4" s="117" t="s">
        <v>558</v>
      </c>
      <c r="P4" s="117" t="s">
        <v>559</v>
      </c>
      <c r="Q4" s="117" t="s">
        <v>560</v>
      </c>
      <c r="R4" s="62" t="s">
        <v>124</v>
      </c>
      <c r="S4" s="26" t="s">
        <v>132</v>
      </c>
      <c r="T4" s="117" t="s">
        <v>145</v>
      </c>
      <c r="U4" s="117" t="s">
        <v>145</v>
      </c>
      <c r="V4" s="117" t="s">
        <v>145</v>
      </c>
      <c r="W4" s="117" t="s">
        <v>145</v>
      </c>
      <c r="X4" s="117" t="s">
        <v>145</v>
      </c>
      <c r="Y4" s="117" t="s">
        <v>145</v>
      </c>
    </row>
    <row r="5" spans="1:25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</row>
    <row r="6" spans="1:25" ht="17.25" customHeight="1" x14ac:dyDescent="0.2">
      <c r="A6" s="22"/>
      <c r="H6" s="62" t="s">
        <v>126</v>
      </c>
      <c r="I6" s="62"/>
      <c r="J6" s="62"/>
      <c r="K6" s="62"/>
      <c r="R6" s="57"/>
    </row>
    <row r="7" spans="1:25" ht="21.75" customHeight="1" x14ac:dyDescent="0.2">
      <c r="A7" s="22"/>
      <c r="B7" s="11" t="s">
        <v>56</v>
      </c>
      <c r="C7" s="11" t="s">
        <v>57</v>
      </c>
      <c r="D7" s="15" t="s">
        <v>93</v>
      </c>
      <c r="E7" s="124" t="s">
        <v>80</v>
      </c>
      <c r="F7" s="124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</row>
    <row r="8" spans="1:25" ht="11.25" customHeight="1" x14ac:dyDescent="0.2">
      <c r="A8" s="58" t="str">
        <f>Processes_BASE!A8</f>
        <v>* Conversion technologies</v>
      </c>
      <c r="B8" s="50"/>
      <c r="E8" s="126"/>
      <c r="F8" s="125"/>
      <c r="H8" s="120"/>
      <c r="I8" s="120"/>
      <c r="J8" s="120"/>
      <c r="K8" s="120"/>
      <c r="L8" s="120"/>
      <c r="M8" s="120"/>
      <c r="N8" s="120"/>
      <c r="O8" s="120"/>
      <c r="P8" s="120"/>
      <c r="Q8" s="120"/>
    </row>
    <row r="9" spans="1:25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6" t="str">
        <f>RES!D2</f>
        <v>INDCOA</v>
      </c>
      <c r="F9" s="126"/>
      <c r="H9" s="120"/>
      <c r="M9" s="120"/>
      <c r="N9" s="120"/>
      <c r="O9" s="120"/>
      <c r="P9" s="120"/>
      <c r="Q9" s="120"/>
      <c r="T9" s="121">
        <f>EB_Exist!K7/EB_Exist!F4</f>
        <v>1.5184024154038968E-2</v>
      </c>
      <c r="U9" s="12"/>
    </row>
    <row r="10" spans="1:25" s="45" customFormat="1" ht="11.25" customHeight="1" x14ac:dyDescent="0.2">
      <c r="A10" s="12"/>
      <c r="E10" s="126" t="str">
        <f>RES!E2</f>
        <v>INFELC</v>
      </c>
      <c r="F10" s="126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U10" s="45">
        <f>EB_Exist!K8/EB_Exist!F4</f>
        <v>0.15114499937673032</v>
      </c>
    </row>
    <row r="11" spans="1:25" s="45" customFormat="1" ht="11.25" customHeight="1" x14ac:dyDescent="0.2">
      <c r="A11" s="12"/>
      <c r="E11" s="125" t="str">
        <f>RES!F2</f>
        <v>INDODS</v>
      </c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V11" s="45">
        <f>EB_Exist!K9/EB_Exist!F4</f>
        <v>1.740249605672875E-2</v>
      </c>
    </row>
    <row r="12" spans="1:25" s="45" customFormat="1" ht="11.25" customHeight="1" x14ac:dyDescent="0.2">
      <c r="A12" s="12"/>
      <c r="E12" s="125" t="str">
        <f>RES!G2</f>
        <v>INFGAS</v>
      </c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W12" s="45">
        <f>EB_Exist!K10/EB_Exist!F4</f>
        <v>1.0221036009077367E-3</v>
      </c>
    </row>
    <row r="13" spans="1:25" s="45" customFormat="1" ht="11.25" customHeight="1" x14ac:dyDescent="0.2">
      <c r="A13" s="12"/>
      <c r="B13" s="12"/>
      <c r="C13" s="12"/>
      <c r="D13" s="12"/>
      <c r="E13" s="126"/>
      <c r="F13" s="125" t="str">
        <f>RES!O2</f>
        <v>IPGM</v>
      </c>
      <c r="H13" s="120"/>
      <c r="I13" s="120">
        <f>EB_Exist!F4/0.9</f>
        <v>288.88888888888886</v>
      </c>
      <c r="J13" s="120">
        <f>I13</f>
        <v>288.88888888888886</v>
      </c>
      <c r="K13" s="120">
        <f>J13</f>
        <v>288.88888888888886</v>
      </c>
      <c r="L13" s="120">
        <f>I13</f>
        <v>288.88888888888886</v>
      </c>
      <c r="M13" s="127">
        <v>3</v>
      </c>
      <c r="N13" s="127"/>
      <c r="O13" s="127"/>
      <c r="P13" s="127"/>
      <c r="Q13" s="127"/>
      <c r="R13" s="12">
        <v>1</v>
      </c>
      <c r="S13" s="45">
        <v>1</v>
      </c>
      <c r="X13" s="121">
        <f>'PGM methodology'!F8</f>
        <v>0.60117922803668555</v>
      </c>
      <c r="Y13" s="121"/>
    </row>
    <row r="14" spans="1:25" s="45" customFormat="1" ht="11.25" customHeight="1" x14ac:dyDescent="0.2">
      <c r="A14" s="12"/>
      <c r="B14" s="12"/>
      <c r="C14" s="12"/>
      <c r="D14" s="12"/>
      <c r="E14" s="126"/>
      <c r="F14" s="125" t="str">
        <f>RES!P2</f>
        <v>IPGMOP</v>
      </c>
      <c r="H14" s="120"/>
      <c r="I14" s="120"/>
      <c r="J14" s="120"/>
      <c r="K14" s="120"/>
      <c r="L14" s="120"/>
      <c r="M14" s="127"/>
      <c r="N14" s="127"/>
      <c r="O14" s="127"/>
      <c r="P14" s="127"/>
      <c r="Q14" s="127"/>
      <c r="R14" s="12"/>
      <c r="X14" s="121"/>
      <c r="Y14" s="121">
        <f>'PGM methodology'!F9</f>
        <v>0.39882077196331445</v>
      </c>
    </row>
    <row r="15" spans="1:25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0">
        <f>T9*101%</f>
        <v>1.5335864395579359E-2</v>
      </c>
      <c r="U15" s="12"/>
      <c r="V15" s="12"/>
      <c r="W15" s="12"/>
      <c r="X15" s="121"/>
      <c r="Y15" s="121"/>
    </row>
    <row r="16" spans="1:25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0">
        <f>U10*101%</f>
        <v>0.15265644937049763</v>
      </c>
      <c r="V16" s="12"/>
      <c r="W16" s="12"/>
      <c r="X16" s="121"/>
      <c r="Y16" s="121"/>
    </row>
    <row r="17" spans="1:25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0">
        <f>V11*101%</f>
        <v>1.7576521017296037E-2</v>
      </c>
      <c r="W17" s="12"/>
      <c r="X17" s="121"/>
      <c r="Y17" s="121"/>
    </row>
    <row r="18" spans="1:25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0">
        <f>W12*101%</f>
        <v>1.032324636916814E-3</v>
      </c>
      <c r="X18" s="121"/>
      <c r="Y18" s="121"/>
    </row>
    <row r="19" spans="1:25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methodology'!L55</f>
        <v>1159.5845779193976</v>
      </c>
      <c r="P19" s="12">
        <f>'PGM methodology'!L54</f>
        <v>214.83825141995794</v>
      </c>
      <c r="Q19" s="12">
        <f>'PGM methodology'!L56</f>
        <v>45</v>
      </c>
      <c r="R19" s="12">
        <v>1</v>
      </c>
      <c r="S19" s="12">
        <v>1</v>
      </c>
      <c r="X19" s="120">
        <f>X13</f>
        <v>0.60117922803668555</v>
      </c>
      <c r="Y19" s="120"/>
    </row>
    <row r="20" spans="1:25" ht="11.25" customHeight="1" x14ac:dyDescent="0.2">
      <c r="F20" s="12" t="str">
        <f>RES!P2</f>
        <v>IPGMOP</v>
      </c>
      <c r="X20" s="120"/>
      <c r="Y20" s="120">
        <f>Y14</f>
        <v>0.39882077196331445</v>
      </c>
    </row>
    <row r="21" spans="1:25" ht="11.25" customHeight="1" x14ac:dyDescent="0.2">
      <c r="X21" s="120"/>
      <c r="Y21" s="120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D74"/>
  <sheetViews>
    <sheetView tabSelected="1" topLeftCell="A13" zoomScaleNormal="100" workbookViewId="0">
      <selection activeCell="U34" sqref="U34"/>
    </sheetView>
  </sheetViews>
  <sheetFormatPr defaultColWidth="8.85546875" defaultRowHeight="15" x14ac:dyDescent="0.25"/>
  <cols>
    <col min="1" max="1" width="17.42578125" style="156" customWidth="1"/>
    <col min="2" max="4" width="8.85546875" style="156"/>
    <col min="5" max="5" width="10.140625" style="156" bestFit="1" customWidth="1"/>
    <col min="6" max="6" width="9.5703125" style="156" bestFit="1" customWidth="1"/>
    <col min="7" max="9" width="9.5703125" style="156" customWidth="1"/>
    <col min="10" max="11" width="9.5703125" style="156" bestFit="1" customWidth="1"/>
    <col min="12" max="12" width="9.28515625" style="156" bestFit="1" customWidth="1"/>
    <col min="13" max="13" width="8.85546875" style="156"/>
    <col min="14" max="14" width="11" style="156" bestFit="1" customWidth="1"/>
    <col min="15" max="16384" width="8.85546875" style="156"/>
  </cols>
  <sheetData>
    <row r="1" spans="1:19" x14ac:dyDescent="0.25">
      <c r="G1" s="155">
        <v>2012</v>
      </c>
      <c r="H1" s="155">
        <v>2013</v>
      </c>
      <c r="I1" s="155">
        <v>2014</v>
      </c>
      <c r="J1" s="155">
        <v>2015</v>
      </c>
      <c r="K1" s="155">
        <v>2016</v>
      </c>
      <c r="L1" s="155">
        <v>2017</v>
      </c>
    </row>
    <row r="2" spans="1:19" x14ac:dyDescent="0.25">
      <c r="A2" s="155" t="s">
        <v>321</v>
      </c>
      <c r="C2" s="155"/>
      <c r="D2" s="155"/>
    </row>
    <row r="3" spans="1:19" x14ac:dyDescent="0.25">
      <c r="B3" s="275" t="s">
        <v>461</v>
      </c>
      <c r="E3" s="222"/>
    </row>
    <row r="4" spans="1:19" x14ac:dyDescent="0.25">
      <c r="D4" s="273" t="s">
        <v>460</v>
      </c>
      <c r="E4" s="222"/>
      <c r="F4" s="273" t="s">
        <v>212</v>
      </c>
      <c r="G4" s="156">
        <f>'Minerals council report 2017'!D24</f>
        <v>254</v>
      </c>
      <c r="H4" s="156">
        <f>'Minerals council report 2017'!E24</f>
        <v>264</v>
      </c>
      <c r="I4" s="156">
        <f>'Minerals council report 2017'!F24</f>
        <v>188</v>
      </c>
      <c r="J4" s="156">
        <f>'Minerals council report 2017'!G24</f>
        <v>276</v>
      </c>
      <c r="K4" s="156">
        <f>'Minerals council report 2017'!H24</f>
        <v>264</v>
      </c>
      <c r="L4" s="312">
        <f>'Minerals council report 2017'!I24</f>
        <v>260</v>
      </c>
    </row>
    <row r="5" spans="1:19" x14ac:dyDescent="0.25">
      <c r="E5" s="222"/>
    </row>
    <row r="6" spans="1:19" x14ac:dyDescent="0.25">
      <c r="B6" s="275" t="s">
        <v>323</v>
      </c>
      <c r="E6" s="222"/>
    </row>
    <row r="7" spans="1:19" x14ac:dyDescent="0.25">
      <c r="F7" s="273" t="s">
        <v>458</v>
      </c>
      <c r="G7" s="273"/>
      <c r="H7" s="273"/>
      <c r="I7" s="273"/>
    </row>
    <row r="8" spans="1:19" x14ac:dyDescent="0.25">
      <c r="D8" s="156" t="s">
        <v>322</v>
      </c>
      <c r="F8" s="274">
        <f>'Mudd 2009 paper'!W65</f>
        <v>0.60117922803668555</v>
      </c>
      <c r="G8" s="274"/>
      <c r="H8" s="274"/>
      <c r="I8" s="274"/>
    </row>
    <row r="9" spans="1:19" x14ac:dyDescent="0.25">
      <c r="D9" s="156" t="s">
        <v>186</v>
      </c>
      <c r="F9" s="274">
        <f>1-F8</f>
        <v>0.39882077196331445</v>
      </c>
      <c r="G9" s="274"/>
      <c r="H9" s="274"/>
      <c r="I9" s="274"/>
    </row>
    <row r="11" spans="1:19" x14ac:dyDescent="0.25">
      <c r="B11" s="273" t="s">
        <v>462</v>
      </c>
      <c r="C11" s="273"/>
      <c r="E11" s="222"/>
      <c r="F11" s="273"/>
      <c r="G11" s="273"/>
      <c r="H11" s="273"/>
      <c r="I11" s="273"/>
    </row>
    <row r="12" spans="1:19" x14ac:dyDescent="0.25">
      <c r="C12" s="273"/>
      <c r="D12" s="273" t="s">
        <v>322</v>
      </c>
      <c r="E12" s="222"/>
      <c r="F12" s="273" t="s">
        <v>212</v>
      </c>
      <c r="G12" s="276">
        <f t="shared" ref="G12:I12" si="0">G$4*$F8</f>
        <v>152.69952392131813</v>
      </c>
      <c r="H12" s="276">
        <f t="shared" si="0"/>
        <v>158.71131620168498</v>
      </c>
      <c r="I12" s="276">
        <f t="shared" si="0"/>
        <v>113.02169487089688</v>
      </c>
      <c r="J12" s="276">
        <f t="shared" ref="J12:L13" si="1">J$4*$F8</f>
        <v>165.92546693812523</v>
      </c>
      <c r="K12" s="276">
        <f t="shared" si="1"/>
        <v>158.71131620168498</v>
      </c>
      <c r="L12" s="276">
        <f>L$4*$F8</f>
        <v>156.30659928953824</v>
      </c>
    </row>
    <row r="13" spans="1:19" x14ac:dyDescent="0.25">
      <c r="D13" s="273" t="s">
        <v>186</v>
      </c>
      <c r="F13" s="273" t="s">
        <v>212</v>
      </c>
      <c r="G13" s="276">
        <f t="shared" ref="G13:I13" si="2">G$4*$F9</f>
        <v>101.30047607868187</v>
      </c>
      <c r="H13" s="276">
        <f t="shared" si="2"/>
        <v>105.28868379831502</v>
      </c>
      <c r="I13" s="276">
        <f t="shared" si="2"/>
        <v>74.97830512910312</v>
      </c>
      <c r="J13" s="276">
        <f t="shared" si="1"/>
        <v>110.07453306187479</v>
      </c>
      <c r="K13" s="276">
        <f t="shared" si="1"/>
        <v>105.28868379831502</v>
      </c>
      <c r="L13" s="276">
        <f t="shared" si="1"/>
        <v>103.69340071046176</v>
      </c>
    </row>
    <row r="16" spans="1:19" x14ac:dyDescent="0.25">
      <c r="S16" s="156" t="s">
        <v>324</v>
      </c>
    </row>
    <row r="17" spans="1:30" x14ac:dyDescent="0.25">
      <c r="A17" s="155" t="s">
        <v>464</v>
      </c>
    </row>
    <row r="18" spans="1:30" x14ac:dyDescent="0.25">
      <c r="B18" s="275" t="s">
        <v>466</v>
      </c>
    </row>
    <row r="19" spans="1:30" x14ac:dyDescent="0.25">
      <c r="T19" s="273" t="s">
        <v>465</v>
      </c>
    </row>
    <row r="20" spans="1:30" x14ac:dyDescent="0.25">
      <c r="U20" s="155" t="s">
        <v>117</v>
      </c>
      <c r="V20" s="273" t="s">
        <v>458</v>
      </c>
      <c r="X20" s="156" t="s">
        <v>325</v>
      </c>
    </row>
    <row r="21" spans="1:30" x14ac:dyDescent="0.25">
      <c r="C21" s="273" t="s">
        <v>232</v>
      </c>
      <c r="D21" s="273" t="s">
        <v>179</v>
      </c>
      <c r="F21" s="277"/>
      <c r="G21" s="277">
        <f t="shared" ref="G21:L24" si="3">INDEX($V$44:$Y$47,MATCH($C21,$T$44:$T$47,0),MATCH($D21,$V$43:$Y$43,0))*G$4</f>
        <v>1.0181328244274812</v>
      </c>
      <c r="H21" s="277">
        <f t="shared" si="3"/>
        <v>1.0582167938931299</v>
      </c>
      <c r="I21" s="277">
        <f t="shared" si="3"/>
        <v>0.75357862595419867</v>
      </c>
      <c r="J21" s="277">
        <f t="shared" si="3"/>
        <v>1.1063175572519086</v>
      </c>
      <c r="K21" s="277">
        <f t="shared" si="3"/>
        <v>1.0582167938931299</v>
      </c>
      <c r="L21" s="277">
        <f t="shared" si="3"/>
        <v>1.0421832061068705</v>
      </c>
      <c r="T21" s="156" t="s">
        <v>232</v>
      </c>
      <c r="U21" s="229">
        <f>L21</f>
        <v>1.0421832061068705</v>
      </c>
      <c r="V21" s="226">
        <f>U21/$L$42</f>
        <v>2.6520208826584596E-2</v>
      </c>
      <c r="X21" s="156" t="s">
        <v>326</v>
      </c>
    </row>
    <row r="22" spans="1:30" x14ac:dyDescent="0.25">
      <c r="C22" s="273" t="s">
        <v>232</v>
      </c>
      <c r="D22" s="273" t="s">
        <v>181</v>
      </c>
      <c r="F22" s="277"/>
      <c r="G22" s="277">
        <f t="shared" si="3"/>
        <v>5.719847328244277E-2</v>
      </c>
      <c r="H22" s="277">
        <f t="shared" si="3"/>
        <v>5.945038167938934E-2</v>
      </c>
      <c r="I22" s="277">
        <f t="shared" si="3"/>
        <v>4.233587786259544E-2</v>
      </c>
      <c r="J22" s="277">
        <f t="shared" si="3"/>
        <v>6.2152671755725218E-2</v>
      </c>
      <c r="K22" s="277">
        <f t="shared" si="3"/>
        <v>5.945038167938934E-2</v>
      </c>
      <c r="L22" s="277">
        <f t="shared" si="3"/>
        <v>5.8549618320610709E-2</v>
      </c>
      <c r="T22" s="156" t="s">
        <v>231</v>
      </c>
      <c r="U22" s="229">
        <f>L26</f>
        <v>5.6018746268656727</v>
      </c>
      <c r="V22" s="226">
        <f>U22/$L$42</f>
        <v>0.14254968229605969</v>
      </c>
      <c r="X22" s="156" t="s">
        <v>326</v>
      </c>
    </row>
    <row r="23" spans="1:30" x14ac:dyDescent="0.25">
      <c r="C23" s="273" t="s">
        <v>232</v>
      </c>
      <c r="D23" s="273" t="s">
        <v>143</v>
      </c>
      <c r="F23" s="277"/>
      <c r="G23" s="277">
        <f t="shared" si="3"/>
        <v>1.9218687022900769</v>
      </c>
      <c r="H23" s="277">
        <f t="shared" si="3"/>
        <v>1.9975328244274815</v>
      </c>
      <c r="I23" s="277">
        <f t="shared" si="3"/>
        <v>1.4224854961832065</v>
      </c>
      <c r="J23" s="277">
        <f t="shared" si="3"/>
        <v>2.0883297709923672</v>
      </c>
      <c r="K23" s="277">
        <f t="shared" si="3"/>
        <v>1.9975328244274815</v>
      </c>
      <c r="L23" s="277">
        <f t="shared" si="3"/>
        <v>1.9672671755725195</v>
      </c>
      <c r="T23" s="156" t="s">
        <v>327</v>
      </c>
      <c r="U23" s="229">
        <f>L31</f>
        <v>11.096302555436061</v>
      </c>
      <c r="V23" s="226">
        <f>U23/$L$42</f>
        <v>0.28236519188637943</v>
      </c>
      <c r="X23" s="156" t="s">
        <v>265</v>
      </c>
    </row>
    <row r="24" spans="1:30" x14ac:dyDescent="0.25">
      <c r="C24" s="273" t="s">
        <v>232</v>
      </c>
      <c r="D24" s="273" t="s">
        <v>180</v>
      </c>
      <c r="F24" s="277"/>
      <c r="G24" s="277">
        <f t="shared" si="3"/>
        <v>0</v>
      </c>
      <c r="H24" s="277">
        <f t="shared" si="3"/>
        <v>0</v>
      </c>
      <c r="I24" s="277">
        <f t="shared" si="3"/>
        <v>0</v>
      </c>
      <c r="J24" s="277">
        <f t="shared" si="3"/>
        <v>0</v>
      </c>
      <c r="K24" s="277">
        <f t="shared" si="3"/>
        <v>0</v>
      </c>
      <c r="L24" s="277">
        <f t="shared" si="3"/>
        <v>0</v>
      </c>
      <c r="T24" s="156" t="s">
        <v>229</v>
      </c>
      <c r="U24" s="229">
        <f>L36</f>
        <v>21.557339449541285</v>
      </c>
      <c r="V24" s="226">
        <f>U24/$L$42</f>
        <v>0.54856491699097643</v>
      </c>
      <c r="X24" s="156" t="s">
        <v>265</v>
      </c>
    </row>
    <row r="25" spans="1:30" x14ac:dyDescent="0.25">
      <c r="F25" s="277"/>
      <c r="G25" s="277"/>
      <c r="H25" s="277"/>
      <c r="I25" s="277"/>
      <c r="J25" s="277"/>
      <c r="K25" s="277"/>
      <c r="L25" s="277"/>
    </row>
    <row r="26" spans="1:30" x14ac:dyDescent="0.25">
      <c r="C26" s="273" t="s">
        <v>231</v>
      </c>
      <c r="D26" s="273" t="s">
        <v>179</v>
      </c>
      <c r="F26" s="277"/>
      <c r="G26" s="277">
        <f t="shared" ref="G26:L29" si="4">INDEX($V$44:$Y$47,MATCH($C26,$T$44:$T$47,0),MATCH($D26,$V$43:$Y$43,0))*G$4</f>
        <v>5.4726005970149263</v>
      </c>
      <c r="H26" s="277">
        <f t="shared" si="4"/>
        <v>5.6880573134328367</v>
      </c>
      <c r="I26" s="277">
        <f t="shared" si="4"/>
        <v>4.0505862686567173</v>
      </c>
      <c r="J26" s="277">
        <f t="shared" si="4"/>
        <v>5.9466053731343296</v>
      </c>
      <c r="K26" s="277">
        <f t="shared" si="4"/>
        <v>5.6880573134328367</v>
      </c>
      <c r="L26" s="277">
        <f t="shared" si="4"/>
        <v>5.6018746268656727</v>
      </c>
    </row>
    <row r="27" spans="1:30" x14ac:dyDescent="0.25">
      <c r="C27" s="273" t="s">
        <v>231</v>
      </c>
      <c r="D27" s="273" t="s">
        <v>181</v>
      </c>
      <c r="F27" s="277"/>
      <c r="G27" s="277">
        <f t="shared" si="4"/>
        <v>2.28979104477612E-2</v>
      </c>
      <c r="H27" s="277">
        <f t="shared" si="4"/>
        <v>2.379940298507463E-2</v>
      </c>
      <c r="I27" s="277">
        <f t="shared" si="4"/>
        <v>1.6948059701492543E-2</v>
      </c>
      <c r="J27" s="277">
        <f t="shared" si="4"/>
        <v>2.4881194029850753E-2</v>
      </c>
      <c r="K27" s="277">
        <f t="shared" si="4"/>
        <v>2.379940298507463E-2</v>
      </c>
      <c r="L27" s="277">
        <f t="shared" si="4"/>
        <v>2.343880597014926E-2</v>
      </c>
    </row>
    <row r="28" spans="1:30" x14ac:dyDescent="0.25">
      <c r="C28" s="273" t="s">
        <v>231</v>
      </c>
      <c r="D28" s="273" t="s">
        <v>143</v>
      </c>
      <c r="F28" s="277"/>
      <c r="G28" s="277">
        <f t="shared" si="4"/>
        <v>1.9348734328358208</v>
      </c>
      <c r="H28" s="277">
        <f t="shared" si="4"/>
        <v>2.0110495522388061</v>
      </c>
      <c r="I28" s="277">
        <f t="shared" si="4"/>
        <v>1.4321110447761194</v>
      </c>
      <c r="J28" s="277">
        <f t="shared" si="4"/>
        <v>2.102460895522388</v>
      </c>
      <c r="K28" s="277">
        <f t="shared" si="4"/>
        <v>2.0110495522388061</v>
      </c>
      <c r="L28" s="277">
        <f t="shared" si="4"/>
        <v>1.980579104477612</v>
      </c>
      <c r="T28" s="156" t="s">
        <v>143</v>
      </c>
      <c r="U28" s="156" t="s">
        <v>328</v>
      </c>
      <c r="V28" s="156" t="s">
        <v>329</v>
      </c>
      <c r="W28" s="156" t="s">
        <v>179</v>
      </c>
      <c r="X28" s="156" t="s">
        <v>180</v>
      </c>
      <c r="Y28" s="156" t="s">
        <v>330</v>
      </c>
      <c r="Z28" s="156" t="s">
        <v>331</v>
      </c>
      <c r="AA28" s="156" t="s">
        <v>332</v>
      </c>
      <c r="AB28" s="156" t="s">
        <v>333</v>
      </c>
      <c r="AC28" s="156" t="s">
        <v>334</v>
      </c>
      <c r="AD28" s="156" t="s">
        <v>335</v>
      </c>
    </row>
    <row r="29" spans="1:30" x14ac:dyDescent="0.25">
      <c r="C29" s="273" t="s">
        <v>231</v>
      </c>
      <c r="D29" s="273" t="s">
        <v>180</v>
      </c>
      <c r="F29" s="277"/>
      <c r="G29" s="277">
        <f t="shared" si="4"/>
        <v>0.24042805970149256</v>
      </c>
      <c r="H29" s="277">
        <f t="shared" si="4"/>
        <v>0.2498937313432836</v>
      </c>
      <c r="I29" s="277">
        <f t="shared" si="4"/>
        <v>0.17795462686567168</v>
      </c>
      <c r="J29" s="277">
        <f t="shared" si="4"/>
        <v>0.2612525373134329</v>
      </c>
      <c r="K29" s="277">
        <f t="shared" si="4"/>
        <v>0.2498937313432836</v>
      </c>
      <c r="L29" s="277">
        <f t="shared" si="4"/>
        <v>0.24610746268656719</v>
      </c>
      <c r="S29" s="156" t="s">
        <v>229</v>
      </c>
      <c r="V29" s="229">
        <f>L43</f>
        <v>4.5246489747494749</v>
      </c>
      <c r="W29" s="229">
        <f>SUM(U23:U24)</f>
        <v>32.653642004977343</v>
      </c>
    </row>
    <row r="30" spans="1:30" x14ac:dyDescent="0.25">
      <c r="F30" s="277"/>
      <c r="G30" s="277"/>
      <c r="H30" s="277"/>
      <c r="I30" s="277"/>
      <c r="J30" s="277"/>
      <c r="K30" s="277"/>
      <c r="L30" s="277"/>
      <c r="S30" s="156" t="s">
        <v>336</v>
      </c>
    </row>
    <row r="31" spans="1:30" x14ac:dyDescent="0.25">
      <c r="C31" s="273" t="s">
        <v>327</v>
      </c>
      <c r="D31" s="273" t="s">
        <v>179</v>
      </c>
      <c r="F31" s="277"/>
      <c r="G31" s="277">
        <f t="shared" ref="G31:L34" si="5">INDEX($V$44:$Y$47,MATCH($C31,$T$44:$T$47,0),MATCH($D31,$V$43:$Y$43,0))*G$4</f>
        <v>10.840234034925999</v>
      </c>
      <c r="H31" s="277">
        <f t="shared" si="5"/>
        <v>11.267014902442771</v>
      </c>
      <c r="I31" s="277">
        <f t="shared" si="5"/>
        <v>8.0234803093153069</v>
      </c>
      <c r="J31" s="277">
        <f t="shared" si="5"/>
        <v>11.779151943462896</v>
      </c>
      <c r="K31" s="277">
        <f t="shared" si="5"/>
        <v>11.267014902442771</v>
      </c>
      <c r="L31" s="277">
        <f t="shared" si="5"/>
        <v>11.096302555436061</v>
      </c>
      <c r="S31" s="156" t="s">
        <v>339</v>
      </c>
    </row>
    <row r="32" spans="1:30" x14ac:dyDescent="0.25">
      <c r="C32" s="273" t="s">
        <v>327</v>
      </c>
      <c r="D32" s="273" t="s">
        <v>181</v>
      </c>
      <c r="F32" s="277"/>
      <c r="G32" s="277">
        <f t="shared" si="5"/>
        <v>0</v>
      </c>
      <c r="H32" s="277">
        <f t="shared" si="5"/>
        <v>0</v>
      </c>
      <c r="I32" s="277">
        <f t="shared" si="5"/>
        <v>0</v>
      </c>
      <c r="J32" s="277">
        <f t="shared" si="5"/>
        <v>0</v>
      </c>
      <c r="K32" s="277">
        <f t="shared" si="5"/>
        <v>0</v>
      </c>
      <c r="L32" s="277">
        <f t="shared" si="5"/>
        <v>0</v>
      </c>
      <c r="S32" s="156" t="s">
        <v>340</v>
      </c>
    </row>
    <row r="33" spans="3:25" x14ac:dyDescent="0.25">
      <c r="C33" s="273" t="s">
        <v>327</v>
      </c>
      <c r="D33" s="273" t="s">
        <v>143</v>
      </c>
      <c r="F33" s="277"/>
      <c r="G33" s="277">
        <f t="shared" si="5"/>
        <v>0</v>
      </c>
      <c r="H33" s="277">
        <f t="shared" si="5"/>
        <v>0</v>
      </c>
      <c r="I33" s="277">
        <f t="shared" si="5"/>
        <v>0</v>
      </c>
      <c r="J33" s="277">
        <f t="shared" si="5"/>
        <v>0</v>
      </c>
      <c r="K33" s="277">
        <f t="shared" si="5"/>
        <v>0</v>
      </c>
      <c r="L33" s="277">
        <f t="shared" si="5"/>
        <v>0</v>
      </c>
      <c r="S33" s="156" t="s">
        <v>341</v>
      </c>
    </row>
    <row r="34" spans="3:25" x14ac:dyDescent="0.25">
      <c r="C34" s="273" t="s">
        <v>327</v>
      </c>
      <c r="D34" s="273" t="s">
        <v>180</v>
      </c>
      <c r="F34" s="277"/>
      <c r="G34" s="277">
        <f t="shared" si="5"/>
        <v>1.9186254929072565E-2</v>
      </c>
      <c r="H34" s="277">
        <f t="shared" si="5"/>
        <v>1.9941619296358886E-2</v>
      </c>
      <c r="I34" s="277">
        <f t="shared" si="5"/>
        <v>1.4200850104982843E-2</v>
      </c>
      <c r="J34" s="277">
        <f t="shared" si="5"/>
        <v>2.084805653710247E-2</v>
      </c>
      <c r="K34" s="277">
        <f t="shared" si="5"/>
        <v>1.9941619296358886E-2</v>
      </c>
      <c r="L34" s="277">
        <f t="shared" si="5"/>
        <v>1.9639473549444356E-2</v>
      </c>
      <c r="S34" s="156" t="s">
        <v>342</v>
      </c>
      <c r="W34" s="229">
        <f>SUM(U21:U22)</f>
        <v>6.6440578329725435</v>
      </c>
    </row>
    <row r="35" spans="3:25" x14ac:dyDescent="0.25">
      <c r="F35" s="277"/>
      <c r="G35" s="277"/>
      <c r="H35" s="277"/>
      <c r="I35" s="277"/>
      <c r="J35" s="277"/>
      <c r="K35" s="277"/>
      <c r="L35" s="277"/>
      <c r="S35" s="156" t="s">
        <v>343</v>
      </c>
    </row>
    <row r="36" spans="3:25" x14ac:dyDescent="0.25">
      <c r="C36" s="273" t="s">
        <v>229</v>
      </c>
      <c r="D36" s="273" t="s">
        <v>179</v>
      </c>
      <c r="F36" s="277"/>
      <c r="G36" s="277">
        <f t="shared" ref="G36:L39" si="6">INDEX($V$44:$Y$47,MATCH($C36,$T$44:$T$47,0),MATCH($D36,$V$43:$Y$43,0))*G$4</f>
        <v>21.059862385321104</v>
      </c>
      <c r="H36" s="277">
        <f t="shared" si="6"/>
        <v>21.888990825688076</v>
      </c>
      <c r="I36" s="277">
        <f t="shared" si="6"/>
        <v>15.587614678899085</v>
      </c>
      <c r="J36" s="277">
        <f t="shared" si="6"/>
        <v>22.883944954128442</v>
      </c>
      <c r="K36" s="277">
        <f t="shared" si="6"/>
        <v>21.888990825688076</v>
      </c>
      <c r="L36" s="277">
        <f t="shared" si="6"/>
        <v>21.557339449541285</v>
      </c>
      <c r="S36" s="156" t="s">
        <v>344</v>
      </c>
    </row>
    <row r="37" spans="3:25" x14ac:dyDescent="0.25">
      <c r="C37" s="273" t="s">
        <v>229</v>
      </c>
      <c r="D37" s="273" t="s">
        <v>181</v>
      </c>
      <c r="F37" s="277"/>
      <c r="G37" s="277">
        <f t="shared" si="6"/>
        <v>4.3401376146788984</v>
      </c>
      <c r="H37" s="277">
        <f t="shared" si="6"/>
        <v>4.5110091743119263</v>
      </c>
      <c r="I37" s="277">
        <f t="shared" si="6"/>
        <v>3.2123853211009168</v>
      </c>
      <c r="J37" s="277">
        <f t="shared" si="6"/>
        <v>4.7160550458715589</v>
      </c>
      <c r="K37" s="277">
        <f t="shared" si="6"/>
        <v>4.5110091743119263</v>
      </c>
      <c r="L37" s="277">
        <f t="shared" si="6"/>
        <v>4.4426605504587151</v>
      </c>
      <c r="S37" s="156" t="s">
        <v>345</v>
      </c>
    </row>
    <row r="38" spans="3:25" x14ac:dyDescent="0.25">
      <c r="C38" s="273" t="s">
        <v>229</v>
      </c>
      <c r="D38" s="273" t="s">
        <v>143</v>
      </c>
      <c r="F38" s="277"/>
      <c r="G38" s="277">
        <f t="shared" si="6"/>
        <v>0</v>
      </c>
      <c r="H38" s="277">
        <f t="shared" si="6"/>
        <v>0</v>
      </c>
      <c r="I38" s="277">
        <f t="shared" si="6"/>
        <v>0</v>
      </c>
      <c r="J38" s="277">
        <f t="shared" si="6"/>
        <v>0</v>
      </c>
      <c r="K38" s="277">
        <f t="shared" si="6"/>
        <v>0</v>
      </c>
      <c r="L38" s="277">
        <f t="shared" si="6"/>
        <v>0</v>
      </c>
      <c r="S38" s="156" t="s">
        <v>275</v>
      </c>
    </row>
    <row r="39" spans="3:25" x14ac:dyDescent="0.25">
      <c r="C39" s="273" t="s">
        <v>229</v>
      </c>
      <c r="D39" s="273" t="s">
        <v>180</v>
      </c>
      <c r="F39" s="277"/>
      <c r="G39" s="277">
        <f t="shared" si="6"/>
        <v>0</v>
      </c>
      <c r="H39" s="277">
        <f t="shared" si="6"/>
        <v>0</v>
      </c>
      <c r="I39" s="277">
        <f t="shared" si="6"/>
        <v>0</v>
      </c>
      <c r="J39" s="277">
        <f t="shared" si="6"/>
        <v>0</v>
      </c>
      <c r="K39" s="277">
        <f t="shared" si="6"/>
        <v>0</v>
      </c>
      <c r="L39" s="277">
        <f t="shared" si="6"/>
        <v>0</v>
      </c>
    </row>
    <row r="41" spans="3:25" x14ac:dyDescent="0.25">
      <c r="S41" s="157" t="s">
        <v>337</v>
      </c>
      <c r="T41" s="158"/>
      <c r="U41" s="158"/>
      <c r="V41" s="279"/>
      <c r="W41" s="279"/>
      <c r="X41" s="279"/>
      <c r="Y41" s="280"/>
    </row>
    <row r="42" spans="3:25" x14ac:dyDescent="0.25">
      <c r="C42" s="155" t="s">
        <v>225</v>
      </c>
      <c r="D42" s="155" t="s">
        <v>179</v>
      </c>
      <c r="E42" s="155"/>
      <c r="F42" s="230"/>
      <c r="G42" s="278">
        <f t="shared" ref="G42:H42" si="7">G21+G26+G31+G36</f>
        <v>38.390829841689509</v>
      </c>
      <c r="H42" s="278">
        <f t="shared" si="7"/>
        <v>39.90227983545681</v>
      </c>
      <c r="I42" s="230">
        <f t="shared" ref="I42" si="8">I36+I31+I26+I21</f>
        <v>28.415259882825303</v>
      </c>
      <c r="J42" s="278">
        <f>J21+J26+J31+J36</f>
        <v>41.716019827977576</v>
      </c>
      <c r="K42" s="278">
        <f t="shared" ref="K42" si="9">K21+K26+K31+K36</f>
        <v>39.90227983545681</v>
      </c>
      <c r="L42" s="230">
        <f>L36+L31+L26+L21</f>
        <v>39.297699837949885</v>
      </c>
      <c r="M42" s="236"/>
      <c r="S42" s="281" t="s">
        <v>463</v>
      </c>
      <c r="T42" s="282"/>
      <c r="U42" s="282"/>
      <c r="V42" s="282"/>
      <c r="W42" s="282"/>
      <c r="X42" s="282"/>
      <c r="Y42" s="163"/>
    </row>
    <row r="43" spans="3:25" x14ac:dyDescent="0.25">
      <c r="C43" s="155"/>
      <c r="D43" s="155" t="s">
        <v>181</v>
      </c>
      <c r="E43" s="155"/>
      <c r="F43" s="230"/>
      <c r="G43" s="278">
        <f t="shared" ref="G43:I43" si="10">G22+G27+G32+G37</f>
        <v>4.4202339984091026</v>
      </c>
      <c r="H43" s="278">
        <f t="shared" si="10"/>
        <v>4.5942589589763898</v>
      </c>
      <c r="I43" s="230">
        <f t="shared" si="10"/>
        <v>3.2716692586650047</v>
      </c>
      <c r="J43" s="278">
        <f t="shared" ref="J43:K45" si="11">J22+J27+J32+J37</f>
        <v>4.8030889116571345</v>
      </c>
      <c r="K43" s="278">
        <f t="shared" si="11"/>
        <v>4.5942589589763898</v>
      </c>
      <c r="L43" s="230">
        <f>L22+L27+L32+L37</f>
        <v>4.5246489747494749</v>
      </c>
      <c r="S43" s="179"/>
      <c r="T43" s="283" t="s">
        <v>338</v>
      </c>
      <c r="U43" s="282"/>
      <c r="V43" s="283" t="s">
        <v>179</v>
      </c>
      <c r="W43" s="283" t="s">
        <v>181</v>
      </c>
      <c r="X43" s="283" t="s">
        <v>143</v>
      </c>
      <c r="Y43" s="284" t="s">
        <v>180</v>
      </c>
    </row>
    <row r="44" spans="3:25" x14ac:dyDescent="0.25">
      <c r="C44" s="155"/>
      <c r="D44" s="155" t="s">
        <v>143</v>
      </c>
      <c r="E44" s="155"/>
      <c r="F44" s="230"/>
      <c r="G44" s="278">
        <f t="shared" ref="G44:H44" si="12">G23+G28+G33+G38</f>
        <v>3.8567421351258977</v>
      </c>
      <c r="H44" s="278">
        <f t="shared" si="12"/>
        <v>4.008582376666288</v>
      </c>
      <c r="I44" s="230">
        <f t="shared" ref="I44:I45" si="13">I38+I33+I28+I23</f>
        <v>2.8545965409593261</v>
      </c>
      <c r="J44" s="278">
        <f t="shared" si="11"/>
        <v>4.1907906665147552</v>
      </c>
      <c r="K44" s="278">
        <f t="shared" si="11"/>
        <v>4.008582376666288</v>
      </c>
      <c r="L44" s="230">
        <f>L38+L33+L28+L23</f>
        <v>3.9478462800501317</v>
      </c>
      <c r="S44" s="179"/>
      <c r="T44" s="282" t="s">
        <v>232</v>
      </c>
      <c r="U44" s="282"/>
      <c r="V44" s="285">
        <f>'Students worksheet'!R14/'Students worksheet'!$O$3</f>
        <v>4.0083969465648864E-3</v>
      </c>
      <c r="W44" s="285">
        <f>'Students worksheet'!U14/'Students worksheet'!$O$3</f>
        <v>2.2519083969465658E-4</v>
      </c>
      <c r="X44" s="285">
        <f>'Students worksheet'!S14/'Students worksheet'!$O$3</f>
        <v>7.56641221374046E-3</v>
      </c>
      <c r="Y44" s="286">
        <f>'Students worksheet'!T14/'Students worksheet'!$O$3</f>
        <v>0</v>
      </c>
    </row>
    <row r="45" spans="3:25" x14ac:dyDescent="0.25">
      <c r="C45" s="155"/>
      <c r="D45" s="155" t="s">
        <v>180</v>
      </c>
      <c r="E45" s="155"/>
      <c r="F45" s="230"/>
      <c r="G45" s="278">
        <f t="shared" ref="G45:H45" si="14">G24+G29+G34+G39</f>
        <v>0.25961431463056511</v>
      </c>
      <c r="H45" s="278">
        <f t="shared" si="14"/>
        <v>0.26983535063964248</v>
      </c>
      <c r="I45" s="230">
        <f t="shared" si="13"/>
        <v>0.19215547697065452</v>
      </c>
      <c r="J45" s="278">
        <f t="shared" si="11"/>
        <v>0.28210059385053537</v>
      </c>
      <c r="K45" s="278">
        <f t="shared" si="11"/>
        <v>0.26983535063964248</v>
      </c>
      <c r="L45" s="230">
        <f>L39+L34+L29+L24</f>
        <v>0.26574693623601153</v>
      </c>
      <c r="S45" s="179"/>
      <c r="T45" s="282" t="s">
        <v>231</v>
      </c>
      <c r="U45" s="282"/>
      <c r="V45" s="285">
        <f>'Students worksheet'!R13/'Students worksheet'!$O$3</f>
        <v>2.154567164179105E-2</v>
      </c>
      <c r="W45" s="285">
        <f>'Students worksheet'!U13/'Students worksheet'!$O$3</f>
        <v>9.0149253731343303E-5</v>
      </c>
      <c r="X45" s="285">
        <f>'Students worksheet'!S13/'Students worksheet'!$O$3</f>
        <v>7.6176119402985073E-3</v>
      </c>
      <c r="Y45" s="286">
        <f>'Students worksheet'!T13/'Students worksheet'!$O$3</f>
        <v>9.465671641791046E-4</v>
      </c>
    </row>
    <row r="46" spans="3:25" x14ac:dyDescent="0.25">
      <c r="F46" s="155"/>
      <c r="G46" s="155"/>
      <c r="H46" s="155"/>
      <c r="I46" s="155"/>
      <c r="J46" s="155"/>
      <c r="K46" s="155"/>
      <c r="L46" s="155"/>
      <c r="S46" s="179"/>
      <c r="T46" s="282" t="s">
        <v>327</v>
      </c>
      <c r="U46" s="282"/>
      <c r="V46" s="285">
        <f>'Students worksheet'!R12/'Students worksheet'!$O$3</f>
        <v>4.2678086751677162E-2</v>
      </c>
      <c r="W46" s="285">
        <f>'Students worksheet'!U12/'Students worksheet'!$O$3</f>
        <v>0</v>
      </c>
      <c r="X46" s="285">
        <f>'Students worksheet'!S12/'Students worksheet'!$O$3</f>
        <v>0</v>
      </c>
      <c r="Y46" s="286">
        <f>'Students worksheet'!T12/'Students worksheet'!$O$3</f>
        <v>7.5536436728632143E-5</v>
      </c>
    </row>
    <row r="47" spans="3:25" x14ac:dyDescent="0.25">
      <c r="D47" s="155" t="s">
        <v>225</v>
      </c>
      <c r="F47" s="278"/>
      <c r="G47" s="278">
        <f t="shared" ref="G47:I47" si="15">SUM(G42:G45)</f>
        <v>46.927420289855078</v>
      </c>
      <c r="H47" s="278">
        <f t="shared" si="15"/>
        <v>48.774956521739135</v>
      </c>
      <c r="I47" s="278">
        <f t="shared" si="15"/>
        <v>34.733681159420286</v>
      </c>
      <c r="J47" s="278">
        <f>SUM(J42:J45)</f>
        <v>50.992000000000004</v>
      </c>
      <c r="K47" s="278">
        <f t="shared" ref="K47:L47" si="16">SUM(K42:K45)</f>
        <v>48.774956521739135</v>
      </c>
      <c r="L47" s="278">
        <f t="shared" si="16"/>
        <v>48.035942028985502</v>
      </c>
      <c r="M47" s="156" t="s">
        <v>117</v>
      </c>
      <c r="N47" s="231">
        <f>L47/L4</f>
        <v>0.18475362318840577</v>
      </c>
      <c r="O47" s="156" t="s">
        <v>188</v>
      </c>
      <c r="S47" s="179"/>
      <c r="T47" s="282" t="s">
        <v>229</v>
      </c>
      <c r="U47" s="282"/>
      <c r="V47" s="285">
        <f>'Students worksheet'!R11/'Students worksheet'!$O$3</f>
        <v>8.2912844036697256E-2</v>
      </c>
      <c r="W47" s="285">
        <f>'Students worksheet'!U11/'Students worksheet'!$O$3</f>
        <v>1.708715596330275E-2</v>
      </c>
      <c r="X47" s="285"/>
      <c r="Y47" s="286"/>
    </row>
    <row r="48" spans="3:25" x14ac:dyDescent="0.25">
      <c r="S48" s="181"/>
      <c r="T48" s="182"/>
      <c r="U48" s="182"/>
      <c r="V48" s="182"/>
      <c r="W48" s="182"/>
      <c r="X48" s="182"/>
      <c r="Y48" s="183"/>
    </row>
    <row r="51" spans="1:15" x14ac:dyDescent="0.25">
      <c r="A51" s="155" t="s">
        <v>346</v>
      </c>
    </row>
    <row r="52" spans="1:15" x14ac:dyDescent="0.25">
      <c r="B52" s="275" t="s">
        <v>555</v>
      </c>
    </row>
    <row r="54" spans="1:15" x14ac:dyDescent="0.25">
      <c r="C54" s="155" t="s">
        <v>553</v>
      </c>
      <c r="E54" s="155"/>
      <c r="F54" s="155" t="s">
        <v>347</v>
      </c>
      <c r="G54" s="155"/>
      <c r="H54" s="155"/>
      <c r="I54" s="155"/>
      <c r="J54" s="155"/>
      <c r="K54" s="155"/>
      <c r="L54" s="310">
        <f>'Waterberg project'!N26*N54</f>
        <v>214.83825141995794</v>
      </c>
      <c r="N54" s="234">
        <v>12.506056651959728</v>
      </c>
      <c r="O54" s="309" t="s">
        <v>554</v>
      </c>
    </row>
    <row r="55" spans="1:15" x14ac:dyDescent="0.25">
      <c r="C55" s="155" t="s">
        <v>556</v>
      </c>
      <c r="F55" s="155" t="s">
        <v>557</v>
      </c>
      <c r="L55" s="277">
        <f>'Waterberg project'!N25*N54</f>
        <v>1159.5845779193976</v>
      </c>
    </row>
    <row r="56" spans="1:15" x14ac:dyDescent="0.25">
      <c r="C56" s="155" t="s">
        <v>516</v>
      </c>
      <c r="D56" s="155"/>
      <c r="E56" s="155"/>
      <c r="F56" s="155" t="s">
        <v>517</v>
      </c>
      <c r="L56" s="156">
        <f>'Waterberg project'!L24</f>
        <v>45</v>
      </c>
    </row>
    <row r="73" spans="5:11" x14ac:dyDescent="0.25">
      <c r="E73" s="229"/>
      <c r="F73" s="229"/>
      <c r="G73" s="229"/>
      <c r="H73" s="229"/>
      <c r="I73" s="229"/>
      <c r="J73" s="229"/>
      <c r="K73" s="229"/>
    </row>
    <row r="74" spans="5:11" x14ac:dyDescent="0.25">
      <c r="E74" s="232"/>
      <c r="F74" s="232"/>
      <c r="G74" s="232"/>
      <c r="H74" s="232"/>
      <c r="I74" s="232"/>
      <c r="J74" s="232"/>
      <c r="K74" s="232"/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topLeftCell="A70" zoomScale="70" zoomScaleNormal="70" workbookViewId="0">
      <selection activeCell="W52" sqref="W52:Y52"/>
    </sheetView>
  </sheetViews>
  <sheetFormatPr defaultColWidth="8.85546875" defaultRowHeight="15" x14ac:dyDescent="0.25"/>
  <cols>
    <col min="1" max="1" width="8.85546875" style="156"/>
    <col min="2" max="2" width="13.140625" style="156" customWidth="1"/>
    <col min="3" max="3" width="8.85546875" style="156"/>
    <col min="4" max="4" width="14.7109375" style="156" customWidth="1"/>
    <col min="5" max="5" width="13" style="156" customWidth="1"/>
    <col min="6" max="7" width="8.85546875" style="156"/>
    <col min="8" max="8" width="12.140625" style="156" customWidth="1"/>
    <col min="9" max="9" width="14.140625" style="156" customWidth="1"/>
    <col min="10" max="22" width="8.85546875" style="156"/>
    <col min="23" max="23" width="19.7109375" style="156" customWidth="1"/>
    <col min="24" max="16384" width="8.85546875" style="156"/>
  </cols>
  <sheetData>
    <row r="2" spans="2:18" x14ac:dyDescent="0.25">
      <c r="B2" s="155" t="s">
        <v>190</v>
      </c>
    </row>
    <row r="3" spans="2:18" x14ac:dyDescent="0.2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</row>
    <row r="4" spans="2:18" x14ac:dyDescent="0.25">
      <c r="B4" s="160" t="s">
        <v>191</v>
      </c>
      <c r="C4" s="161" t="s">
        <v>192</v>
      </c>
      <c r="D4" s="162"/>
      <c r="E4" s="162"/>
      <c r="F4" s="162"/>
      <c r="G4" s="162"/>
      <c r="H4" s="162"/>
      <c r="N4" s="163"/>
    </row>
    <row r="5" spans="2:18" x14ac:dyDescent="0.25">
      <c r="B5" s="164"/>
      <c r="C5" s="165"/>
      <c r="D5" s="166">
        <v>2013</v>
      </c>
      <c r="E5" s="166">
        <v>2014</v>
      </c>
      <c r="F5" s="166">
        <v>2015</v>
      </c>
      <c r="G5" s="166">
        <v>2016</v>
      </c>
      <c r="H5" s="167">
        <v>2017</v>
      </c>
      <c r="I5" s="155" t="s">
        <v>193</v>
      </c>
      <c r="N5" s="163"/>
    </row>
    <row r="6" spans="2:18" x14ac:dyDescent="0.25">
      <c r="B6" s="168" t="s">
        <v>143</v>
      </c>
      <c r="C6" s="169" t="s">
        <v>194</v>
      </c>
      <c r="D6" s="170">
        <v>255019489</v>
      </c>
      <c r="E6" s="170">
        <v>260642387</v>
      </c>
      <c r="F6" s="170">
        <v>252176473</v>
      </c>
      <c r="G6" s="170">
        <v>250566445</v>
      </c>
      <c r="H6" s="171">
        <v>252347846</v>
      </c>
      <c r="I6" s="172">
        <f>H6</f>
        <v>252347846</v>
      </c>
      <c r="N6" s="163"/>
    </row>
    <row r="7" spans="2:18" x14ac:dyDescent="0.25">
      <c r="B7" s="168" t="s">
        <v>195</v>
      </c>
      <c r="C7" s="169" t="s">
        <v>194</v>
      </c>
      <c r="D7" s="170">
        <v>1294</v>
      </c>
      <c r="E7" s="170">
        <v>1332</v>
      </c>
      <c r="F7" s="170">
        <v>1362</v>
      </c>
      <c r="G7" s="170">
        <v>1101</v>
      </c>
      <c r="H7" s="171">
        <v>1062</v>
      </c>
      <c r="I7" s="172"/>
      <c r="N7" s="163"/>
    </row>
    <row r="8" spans="2:18" x14ac:dyDescent="0.25">
      <c r="B8" s="168" t="s">
        <v>196</v>
      </c>
      <c r="C8" s="169" t="s">
        <v>194</v>
      </c>
      <c r="D8" s="170">
        <v>80821</v>
      </c>
      <c r="E8" s="170">
        <v>78697</v>
      </c>
      <c r="F8" s="170">
        <v>77360</v>
      </c>
      <c r="G8" s="170">
        <v>65257</v>
      </c>
      <c r="H8" s="171">
        <v>65502</v>
      </c>
      <c r="I8" s="172"/>
      <c r="N8" s="163"/>
    </row>
    <row r="9" spans="2:18" x14ac:dyDescent="0.25">
      <c r="B9" s="168" t="s">
        <v>197</v>
      </c>
      <c r="C9" s="169" t="s">
        <v>194</v>
      </c>
      <c r="D9" s="170">
        <v>13652883</v>
      </c>
      <c r="E9" s="170">
        <v>14037722</v>
      </c>
      <c r="F9" s="170">
        <v>15655661</v>
      </c>
      <c r="G9" s="170">
        <v>14707518</v>
      </c>
      <c r="H9" s="171">
        <v>16573021</v>
      </c>
      <c r="I9" s="172">
        <f>H9</f>
        <v>16573021</v>
      </c>
      <c r="N9" s="163"/>
    </row>
    <row r="10" spans="2:18" x14ac:dyDescent="0.25">
      <c r="B10" s="168" t="s">
        <v>198</v>
      </c>
      <c r="C10" s="169" t="s">
        <v>199</v>
      </c>
      <c r="D10" s="170">
        <v>8143256</v>
      </c>
      <c r="E10" s="170">
        <v>8046050</v>
      </c>
      <c r="F10" s="170">
        <v>8232734</v>
      </c>
      <c r="G10" s="170">
        <v>8304587</v>
      </c>
      <c r="H10" s="171">
        <v>9698038</v>
      </c>
      <c r="I10" s="172"/>
      <c r="N10" s="163"/>
      <c r="Q10" s="156" t="s">
        <v>200</v>
      </c>
    </row>
    <row r="11" spans="2:18" x14ac:dyDescent="0.25">
      <c r="B11" s="168" t="s">
        <v>201</v>
      </c>
      <c r="C11" s="169" t="s">
        <v>202</v>
      </c>
      <c r="D11" s="170">
        <v>159472</v>
      </c>
      <c r="E11" s="170">
        <v>149634</v>
      </c>
      <c r="F11" s="170">
        <v>144504</v>
      </c>
      <c r="G11" s="170">
        <v>142091</v>
      </c>
      <c r="H11" s="171">
        <v>137133</v>
      </c>
      <c r="I11" s="172">
        <f>H11/J11</f>
        <v>17141625</v>
      </c>
      <c r="J11" s="173">
        <f>8/1000</f>
        <v>8.0000000000000002E-3</v>
      </c>
      <c r="K11" s="156" t="s">
        <v>203</v>
      </c>
      <c r="N11" s="163"/>
      <c r="Q11" s="156" t="s">
        <v>204</v>
      </c>
    </row>
    <row r="12" spans="2:18" x14ac:dyDescent="0.25">
      <c r="B12" s="168" t="s">
        <v>205</v>
      </c>
      <c r="C12" s="169" t="s">
        <v>202</v>
      </c>
      <c r="D12" s="170">
        <v>264188</v>
      </c>
      <c r="E12" s="170">
        <v>188444</v>
      </c>
      <c r="F12" s="170">
        <v>275515</v>
      </c>
      <c r="G12" s="170">
        <v>263653</v>
      </c>
      <c r="H12" s="171">
        <v>260264</v>
      </c>
      <c r="I12" s="172">
        <f>H12/J12</f>
        <v>65066000</v>
      </c>
      <c r="J12" s="173">
        <f>Q12/1000</f>
        <v>4.0000000000000001E-3</v>
      </c>
      <c r="K12" s="156" t="s">
        <v>203</v>
      </c>
      <c r="N12" s="163"/>
      <c r="Q12" s="156">
        <v>4</v>
      </c>
      <c r="R12" s="156" t="s">
        <v>206</v>
      </c>
    </row>
    <row r="13" spans="2:18" x14ac:dyDescent="0.25">
      <c r="B13" s="168" t="s">
        <v>207</v>
      </c>
      <c r="C13" s="169" t="s">
        <v>194</v>
      </c>
      <c r="D13" s="170">
        <v>51208</v>
      </c>
      <c r="E13" s="170">
        <v>54956</v>
      </c>
      <c r="F13" s="170">
        <v>56689</v>
      </c>
      <c r="G13" s="170">
        <v>48994</v>
      </c>
      <c r="H13" s="171">
        <v>48383</v>
      </c>
      <c r="I13" s="172"/>
      <c r="N13" s="163"/>
    </row>
    <row r="14" spans="2:18" x14ac:dyDescent="0.25">
      <c r="B14" s="168" t="s">
        <v>208</v>
      </c>
      <c r="C14" s="169" t="s">
        <v>194</v>
      </c>
      <c r="D14" s="170">
        <v>41848</v>
      </c>
      <c r="E14" s="170">
        <v>29348</v>
      </c>
      <c r="F14" s="170">
        <v>34573</v>
      </c>
      <c r="G14" s="170">
        <v>39344</v>
      </c>
      <c r="H14" s="171">
        <v>48150</v>
      </c>
      <c r="I14" s="172"/>
      <c r="N14" s="163"/>
    </row>
    <row r="15" spans="2:18" x14ac:dyDescent="0.25">
      <c r="B15" s="168" t="s">
        <v>209</v>
      </c>
      <c r="C15" s="169" t="s">
        <v>194</v>
      </c>
      <c r="D15" s="170">
        <v>11055658</v>
      </c>
      <c r="E15" s="170">
        <v>14051244</v>
      </c>
      <c r="F15" s="170">
        <v>11033717</v>
      </c>
      <c r="G15" s="170">
        <v>10805809</v>
      </c>
      <c r="H15" s="171">
        <v>14143794</v>
      </c>
      <c r="I15" s="172">
        <f>H15</f>
        <v>14143794</v>
      </c>
      <c r="N15" s="163"/>
    </row>
    <row r="16" spans="2:18" x14ac:dyDescent="0.25">
      <c r="B16" s="168" t="s">
        <v>210</v>
      </c>
      <c r="C16" s="169" t="s">
        <v>194</v>
      </c>
      <c r="D16" s="170">
        <v>71533814</v>
      </c>
      <c r="E16" s="170">
        <v>80759334</v>
      </c>
      <c r="F16" s="170">
        <v>72805534</v>
      </c>
      <c r="G16" s="170">
        <v>66455868</v>
      </c>
      <c r="H16" s="171">
        <v>74857447</v>
      </c>
      <c r="I16" s="172">
        <f>H16</f>
        <v>74857447</v>
      </c>
      <c r="N16" s="163"/>
    </row>
    <row r="17" spans="2:14" x14ac:dyDescent="0.25">
      <c r="B17" s="174" t="s">
        <v>211</v>
      </c>
      <c r="C17" s="175" t="s">
        <v>194</v>
      </c>
      <c r="D17" s="176">
        <v>30145</v>
      </c>
      <c r="E17" s="176">
        <v>26141</v>
      </c>
      <c r="F17" s="176">
        <v>29040</v>
      </c>
      <c r="G17" s="176">
        <v>26695</v>
      </c>
      <c r="H17" s="177">
        <v>30778</v>
      </c>
      <c r="I17" s="172"/>
      <c r="K17" s="178"/>
      <c r="L17" s="178"/>
      <c r="N17" s="163"/>
    </row>
    <row r="18" spans="2:14" x14ac:dyDescent="0.25">
      <c r="B18" s="179"/>
      <c r="I18" s="172"/>
      <c r="N18" s="163"/>
    </row>
    <row r="19" spans="2:14" x14ac:dyDescent="0.25">
      <c r="B19" s="179"/>
      <c r="I19" s="172">
        <f>SUM(I6:I17)</f>
        <v>440129733</v>
      </c>
      <c r="N19" s="163"/>
    </row>
    <row r="20" spans="2:14" x14ac:dyDescent="0.25">
      <c r="B20" s="179"/>
      <c r="N20" s="163"/>
    </row>
    <row r="21" spans="2:14" x14ac:dyDescent="0.25">
      <c r="B21" s="179"/>
      <c r="E21" s="156" t="s">
        <v>212</v>
      </c>
      <c r="N21" s="163"/>
    </row>
    <row r="22" spans="2:14" x14ac:dyDescent="0.25">
      <c r="B22" s="179"/>
      <c r="C22" s="156" t="s">
        <v>143</v>
      </c>
      <c r="E22" s="172">
        <f>H6</f>
        <v>252347846</v>
      </c>
      <c r="F22" s="180">
        <f t="shared" ref="F22:F27" si="0">E22/$E$27</f>
        <v>0.57334878123310062</v>
      </c>
      <c r="N22" s="163"/>
    </row>
    <row r="23" spans="2:14" x14ac:dyDescent="0.25">
      <c r="B23" s="179"/>
      <c r="C23" s="156" t="s">
        <v>213</v>
      </c>
      <c r="E23" s="172">
        <f>I11+I12</f>
        <v>82207625</v>
      </c>
      <c r="F23" s="180">
        <f t="shared" si="0"/>
        <v>0.18678043957552851</v>
      </c>
      <c r="N23" s="163"/>
    </row>
    <row r="24" spans="2:14" x14ac:dyDescent="0.25">
      <c r="B24" s="179"/>
      <c r="C24" s="156" t="s">
        <v>214</v>
      </c>
      <c r="E24" s="172">
        <f>H9</f>
        <v>16573021</v>
      </c>
      <c r="F24" s="180">
        <f t="shared" si="0"/>
        <v>3.7654854369950051E-2</v>
      </c>
      <c r="N24" s="163"/>
    </row>
    <row r="25" spans="2:14" x14ac:dyDescent="0.25">
      <c r="B25" s="179"/>
      <c r="C25" s="156" t="s">
        <v>209</v>
      </c>
      <c r="E25" s="172">
        <f>H15</f>
        <v>14143794</v>
      </c>
      <c r="F25" s="180">
        <f t="shared" si="0"/>
        <v>3.2135511281170363E-2</v>
      </c>
      <c r="N25" s="163"/>
    </row>
    <row r="26" spans="2:14" x14ac:dyDescent="0.25">
      <c r="B26" s="179"/>
      <c r="C26" s="156" t="s">
        <v>215</v>
      </c>
      <c r="E26" s="172">
        <f>H16</f>
        <v>74857447</v>
      </c>
      <c r="F26" s="180">
        <f t="shared" si="0"/>
        <v>0.17008041354025041</v>
      </c>
      <c r="N26" s="163"/>
    </row>
    <row r="27" spans="2:14" x14ac:dyDescent="0.25">
      <c r="B27" s="179"/>
      <c r="E27" s="172">
        <f>SUM(E22:E26)</f>
        <v>440129733</v>
      </c>
      <c r="F27" s="180">
        <f t="shared" si="0"/>
        <v>1</v>
      </c>
      <c r="N27" s="163"/>
    </row>
    <row r="28" spans="2:14" x14ac:dyDescent="0.25">
      <c r="B28" s="179"/>
      <c r="N28" s="163"/>
    </row>
    <row r="29" spans="2:14" x14ac:dyDescent="0.25">
      <c r="B29" s="179"/>
      <c r="N29" s="163"/>
    </row>
    <row r="30" spans="2:14" x14ac:dyDescent="0.25"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3"/>
    </row>
    <row r="32" spans="2:14" x14ac:dyDescent="0.25">
      <c r="B32" s="184" t="s">
        <v>216</v>
      </c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9"/>
    </row>
    <row r="33" spans="2:25" x14ac:dyDescent="0.25">
      <c r="B33" s="179"/>
      <c r="N33" s="163"/>
    </row>
    <row r="34" spans="2:25" x14ac:dyDescent="0.25">
      <c r="B34" s="179" t="s">
        <v>217</v>
      </c>
      <c r="N34" s="163"/>
    </row>
    <row r="35" spans="2:25" ht="43.5" customHeight="1" x14ac:dyDescent="0.25">
      <c r="B35" s="185" t="s">
        <v>218</v>
      </c>
      <c r="C35" s="186" t="s">
        <v>219</v>
      </c>
      <c r="D35" s="187" t="s">
        <v>220</v>
      </c>
      <c r="N35" s="163"/>
    </row>
    <row r="36" spans="2:25" ht="45" x14ac:dyDescent="0.25">
      <c r="B36" s="188" t="s">
        <v>221</v>
      </c>
      <c r="C36" s="189">
        <v>161.69999999999999</v>
      </c>
      <c r="D36" s="189">
        <v>54.2</v>
      </c>
      <c r="N36" s="163"/>
    </row>
    <row r="37" spans="2:25" ht="30" x14ac:dyDescent="0.25">
      <c r="B37" s="188" t="s">
        <v>222</v>
      </c>
      <c r="C37" s="189">
        <v>68.400000000000006</v>
      </c>
      <c r="D37" s="189">
        <v>22.9</v>
      </c>
      <c r="N37" s="163"/>
    </row>
    <row r="38" spans="2:25" ht="30" x14ac:dyDescent="0.25">
      <c r="B38" s="188" t="s">
        <v>223</v>
      </c>
      <c r="C38" s="189">
        <v>47.5</v>
      </c>
      <c r="D38" s="189">
        <v>15.9</v>
      </c>
      <c r="N38" s="163"/>
    </row>
    <row r="39" spans="2:25" x14ac:dyDescent="0.25">
      <c r="B39" s="188" t="s">
        <v>224</v>
      </c>
      <c r="C39" s="189">
        <v>20.8</v>
      </c>
      <c r="D39" s="190">
        <v>7</v>
      </c>
      <c r="N39" s="163"/>
    </row>
    <row r="40" spans="2:25" x14ac:dyDescent="0.25">
      <c r="B40" s="188" t="s">
        <v>225</v>
      </c>
      <c r="C40" s="191">
        <v>299</v>
      </c>
      <c r="D40" s="191">
        <v>100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9"/>
    </row>
    <row r="41" spans="2:25" x14ac:dyDescent="0.25">
      <c r="B41" s="179"/>
      <c r="Y41" s="163"/>
    </row>
    <row r="42" spans="2:25" x14ac:dyDescent="0.25">
      <c r="B42" s="179"/>
      <c r="Y42" s="163"/>
    </row>
    <row r="43" spans="2:25" x14ac:dyDescent="0.25">
      <c r="B43" s="179"/>
      <c r="Y43" s="163"/>
    </row>
    <row r="44" spans="2:25" x14ac:dyDescent="0.25">
      <c r="B44" s="179"/>
      <c r="Y44" s="163"/>
    </row>
    <row r="45" spans="2:25" x14ac:dyDescent="0.25">
      <c r="B45" s="179"/>
      <c r="Y45" s="163"/>
    </row>
    <row r="46" spans="2:25" x14ac:dyDescent="0.25">
      <c r="B46" s="179"/>
      <c r="R46" s="156" t="s">
        <v>226</v>
      </c>
      <c r="Y46" s="163"/>
    </row>
    <row r="47" spans="2:25" x14ac:dyDescent="0.25">
      <c r="B47" s="179"/>
      <c r="Q47" s="155" t="s">
        <v>227</v>
      </c>
      <c r="Y47" s="163"/>
    </row>
    <row r="48" spans="2:25" ht="14.45" customHeight="1" x14ac:dyDescent="0.25">
      <c r="B48" s="179"/>
      <c r="Y48" s="163"/>
    </row>
    <row r="49" spans="2:25" ht="30" x14ac:dyDescent="0.25">
      <c r="B49" s="179"/>
      <c r="Q49" s="192" t="s">
        <v>228</v>
      </c>
      <c r="R49" s="193" t="s">
        <v>229</v>
      </c>
      <c r="S49" s="193" t="s">
        <v>230</v>
      </c>
      <c r="T49" s="193" t="s">
        <v>231</v>
      </c>
      <c r="U49" s="194" t="s">
        <v>232</v>
      </c>
      <c r="W49" s="194" t="s">
        <v>233</v>
      </c>
      <c r="Y49" s="163"/>
    </row>
    <row r="50" spans="2:25" ht="14.45" customHeight="1" x14ac:dyDescent="0.25">
      <c r="B50" s="179"/>
      <c r="Q50" s="321"/>
      <c r="R50" s="321"/>
      <c r="S50" s="321"/>
      <c r="T50" s="321"/>
      <c r="U50" s="321"/>
      <c r="V50" s="321"/>
      <c r="W50" s="321"/>
      <c r="Y50" s="163"/>
    </row>
    <row r="51" spans="2:25" x14ac:dyDescent="0.25">
      <c r="B51" s="179"/>
      <c r="Q51" s="321"/>
      <c r="R51" s="321"/>
      <c r="S51" s="321"/>
      <c r="T51" s="321"/>
      <c r="U51" s="321"/>
      <c r="V51" s="321"/>
      <c r="W51" s="321"/>
      <c r="X51" s="321"/>
      <c r="Y51" s="322"/>
    </row>
    <row r="52" spans="2:25" ht="30" x14ac:dyDescent="0.25">
      <c r="B52" s="179"/>
      <c r="Q52" s="195" t="s">
        <v>179</v>
      </c>
      <c r="R52" s="196">
        <v>0.82899999999999996</v>
      </c>
      <c r="S52" s="196">
        <v>0.998</v>
      </c>
      <c r="T52" s="196">
        <v>0.71299999999999997</v>
      </c>
      <c r="U52" s="323">
        <v>0.34</v>
      </c>
      <c r="V52" s="324"/>
      <c r="W52" s="323">
        <v>0.21</v>
      </c>
      <c r="X52" s="325"/>
      <c r="Y52" s="326"/>
    </row>
    <row r="53" spans="2:25" x14ac:dyDescent="0.25">
      <c r="B53" s="179"/>
      <c r="Q53" s="197" t="s">
        <v>143</v>
      </c>
      <c r="R53" s="198" t="s">
        <v>234</v>
      </c>
      <c r="S53" s="198" t="s">
        <v>234</v>
      </c>
      <c r="T53" s="199">
        <v>0.252</v>
      </c>
      <c r="U53" s="327">
        <v>0.64100000000000001</v>
      </c>
      <c r="V53" s="328"/>
      <c r="W53" s="327">
        <v>0.78</v>
      </c>
      <c r="X53" s="329"/>
      <c r="Y53" s="330"/>
    </row>
    <row r="54" spans="2:25" ht="30" x14ac:dyDescent="0.25">
      <c r="B54" s="179"/>
      <c r="Q54" s="197" t="s">
        <v>235</v>
      </c>
      <c r="R54" s="199">
        <v>0.17100000000000001</v>
      </c>
      <c r="S54" s="198" t="s">
        <v>234</v>
      </c>
      <c r="T54" s="200">
        <v>2.99E-3</v>
      </c>
      <c r="U54" s="313">
        <v>1.9099999999999999E-2</v>
      </c>
      <c r="V54" s="314"/>
      <c r="W54" s="313">
        <v>0.01</v>
      </c>
      <c r="X54" s="315"/>
      <c r="Y54" s="316"/>
    </row>
    <row r="55" spans="2:25" x14ac:dyDescent="0.25">
      <c r="B55" s="179"/>
      <c r="Q55" s="197" t="s">
        <v>180</v>
      </c>
      <c r="R55" s="198" t="s">
        <v>234</v>
      </c>
      <c r="S55" s="200">
        <v>1.7700000000000001E-3</v>
      </c>
      <c r="T55" s="201">
        <v>3.1300000000000001E-2</v>
      </c>
      <c r="U55" s="317" t="s">
        <v>234</v>
      </c>
      <c r="V55" s="318"/>
      <c r="W55" s="317" t="s">
        <v>234</v>
      </c>
      <c r="X55" s="319"/>
      <c r="Y55" s="320"/>
    </row>
    <row r="56" spans="2:25" x14ac:dyDescent="0.25">
      <c r="B56" s="179"/>
      <c r="Y56" s="163"/>
    </row>
    <row r="57" spans="2:25" ht="31.5" x14ac:dyDescent="0.25">
      <c r="B57" s="179"/>
      <c r="Q57" s="202" t="s">
        <v>236</v>
      </c>
      <c r="Y57" s="163"/>
    </row>
    <row r="58" spans="2:25" x14ac:dyDescent="0.25">
      <c r="B58" s="179"/>
      <c r="Y58" s="163"/>
    </row>
    <row r="59" spans="2:25" x14ac:dyDescent="0.25">
      <c r="B59" s="179"/>
      <c r="Q59" s="203" t="s">
        <v>237</v>
      </c>
      <c r="R59" s="204" t="s">
        <v>238</v>
      </c>
      <c r="S59" s="203" t="s">
        <v>43</v>
      </c>
      <c r="Y59" s="163"/>
    </row>
    <row r="60" spans="2:25" x14ac:dyDescent="0.25">
      <c r="B60" s="179"/>
      <c r="Q60" s="205" t="s">
        <v>229</v>
      </c>
      <c r="R60" s="206">
        <v>0.3</v>
      </c>
      <c r="S60" s="205" t="s">
        <v>239</v>
      </c>
      <c r="Y60" s="163"/>
    </row>
    <row r="61" spans="2:25" x14ac:dyDescent="0.25">
      <c r="B61" s="179"/>
      <c r="Q61" s="205" t="s">
        <v>230</v>
      </c>
      <c r="R61" s="206">
        <v>0.15</v>
      </c>
      <c r="S61" s="205" t="s">
        <v>240</v>
      </c>
      <c r="Y61" s="163"/>
    </row>
    <row r="62" spans="2:25" x14ac:dyDescent="0.25">
      <c r="B62" s="179"/>
      <c r="Q62" s="205" t="s">
        <v>231</v>
      </c>
      <c r="R62" s="190">
        <v>4.53</v>
      </c>
      <c r="S62" s="205" t="s">
        <v>241</v>
      </c>
      <c r="Y62" s="163"/>
    </row>
    <row r="63" spans="2:25" x14ac:dyDescent="0.25">
      <c r="B63" s="179"/>
      <c r="Q63" s="205" t="s">
        <v>232</v>
      </c>
      <c r="R63" s="190">
        <v>1.77</v>
      </c>
      <c r="S63" s="205" t="s">
        <v>241</v>
      </c>
      <c r="Y63" s="163"/>
    </row>
    <row r="64" spans="2:25" x14ac:dyDescent="0.25">
      <c r="B64" s="179"/>
      <c r="Q64" s="205" t="s">
        <v>242</v>
      </c>
      <c r="R64" s="190">
        <v>3.13</v>
      </c>
      <c r="S64" s="205" t="s">
        <v>243</v>
      </c>
      <c r="Y64" s="163"/>
    </row>
    <row r="65" spans="2:25" x14ac:dyDescent="0.25">
      <c r="B65" s="179"/>
      <c r="Y65" s="163"/>
    </row>
    <row r="66" spans="2:25" x14ac:dyDescent="0.25">
      <c r="B66" s="179"/>
      <c r="Y66" s="163"/>
    </row>
    <row r="67" spans="2:25" x14ac:dyDescent="0.25">
      <c r="B67" s="179"/>
      <c r="Y67" s="163"/>
    </row>
    <row r="68" spans="2:25" x14ac:dyDescent="0.25">
      <c r="B68" s="181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3"/>
    </row>
    <row r="77" spans="2:25" x14ac:dyDescent="0.25">
      <c r="B77" s="182" t="s">
        <v>244</v>
      </c>
      <c r="C77" s="182"/>
      <c r="D77" s="182"/>
      <c r="E77" s="182"/>
      <c r="F77" s="182"/>
      <c r="G77" s="182"/>
      <c r="H77" s="182"/>
      <c r="I77" s="182"/>
      <c r="J77" s="182"/>
      <c r="K77" s="182"/>
    </row>
    <row r="80" spans="2:25" x14ac:dyDescent="0.25">
      <c r="I80" s="207" t="s">
        <v>245</v>
      </c>
      <c r="J80" s="207" t="s">
        <v>246</v>
      </c>
    </row>
    <row r="81" spans="9:10" x14ac:dyDescent="0.25">
      <c r="I81" s="207" t="s">
        <v>247</v>
      </c>
      <c r="J81" s="208">
        <v>3.0000000000000001E-6</v>
      </c>
    </row>
    <row r="82" spans="9:10" x14ac:dyDescent="0.25">
      <c r="I82" s="207" t="s">
        <v>248</v>
      </c>
      <c r="J82" s="208">
        <v>1.4999999999999999E-4</v>
      </c>
    </row>
    <row r="83" spans="9:10" x14ac:dyDescent="0.25">
      <c r="I83" s="207" t="s">
        <v>249</v>
      </c>
      <c r="J83" s="208">
        <v>2E-3</v>
      </c>
    </row>
    <row r="84" spans="9:10" x14ac:dyDescent="0.25">
      <c r="I84" s="207" t="s">
        <v>250</v>
      </c>
      <c r="J84" s="208">
        <v>0.5</v>
      </c>
    </row>
    <row r="85" spans="9:10" x14ac:dyDescent="0.25">
      <c r="I85" s="207" t="s">
        <v>251</v>
      </c>
      <c r="J85" s="208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zoomScale="70" zoomScaleNormal="70" workbookViewId="0">
      <selection activeCell="N68" sqref="N68"/>
    </sheetView>
  </sheetViews>
  <sheetFormatPr defaultColWidth="8.85546875" defaultRowHeight="15" x14ac:dyDescent="0.25"/>
  <cols>
    <col min="1" max="1" width="8.85546875" style="156"/>
    <col min="2" max="2" width="13.7109375" style="156" customWidth="1"/>
    <col min="3" max="3" width="40.85546875" style="156" customWidth="1"/>
    <col min="4" max="4" width="14.28515625" style="156" bestFit="1" customWidth="1"/>
    <col min="5" max="5" width="16.85546875" style="156" customWidth="1"/>
    <col min="6" max="6" width="16" style="156" bestFit="1" customWidth="1"/>
    <col min="7" max="7" width="13.7109375" style="156" customWidth="1"/>
    <col min="8" max="13" width="8.85546875" style="156"/>
    <col min="14" max="14" width="11.7109375" style="156" bestFit="1" customWidth="1"/>
    <col min="15" max="15" width="16.85546875" style="156" bestFit="1" customWidth="1"/>
    <col min="16" max="16384" width="8.85546875" style="156"/>
  </cols>
  <sheetData>
    <row r="2" spans="2:16" x14ac:dyDescent="0.25">
      <c r="C2" s="155" t="s">
        <v>252</v>
      </c>
      <c r="D2" s="155"/>
      <c r="E2" s="155"/>
      <c r="F2" s="155" t="s">
        <v>253</v>
      </c>
    </row>
    <row r="3" spans="2:16" ht="18.75" x14ac:dyDescent="0.25">
      <c r="C3" s="156" t="s">
        <v>254</v>
      </c>
      <c r="F3" s="209" t="s">
        <v>255</v>
      </c>
      <c r="H3" s="156" t="s">
        <v>256</v>
      </c>
    </row>
    <row r="4" spans="2:16" ht="18.75" x14ac:dyDescent="0.25">
      <c r="C4" s="156" t="s">
        <v>257</v>
      </c>
      <c r="F4" s="209" t="s">
        <v>258</v>
      </c>
    </row>
    <row r="9" spans="2:16" x14ac:dyDescent="0.25">
      <c r="B9" s="155" t="s">
        <v>259</v>
      </c>
    </row>
    <row r="10" spans="2:16" x14ac:dyDescent="0.25">
      <c r="B10" s="184"/>
      <c r="C10" s="158"/>
      <c r="D10" s="158"/>
      <c r="E10" s="158"/>
      <c r="F10" s="158"/>
      <c r="G10" s="158"/>
      <c r="H10" s="158"/>
      <c r="I10" s="159"/>
    </row>
    <row r="11" spans="2:16" x14ac:dyDescent="0.25">
      <c r="B11" s="179"/>
      <c r="D11" s="210" t="s">
        <v>260</v>
      </c>
      <c r="E11" s="210" t="s">
        <v>261</v>
      </c>
      <c r="F11" s="210" t="s">
        <v>262</v>
      </c>
      <c r="G11" s="210" t="s">
        <v>263</v>
      </c>
      <c r="I11" s="163"/>
      <c r="N11" s="156">
        <v>2016</v>
      </c>
      <c r="O11" s="156">
        <v>2017</v>
      </c>
    </row>
    <row r="12" spans="2:16" x14ac:dyDescent="0.25">
      <c r="B12" s="179">
        <v>2016</v>
      </c>
      <c r="C12" s="211" t="s">
        <v>264</v>
      </c>
      <c r="D12" s="210">
        <v>863035304</v>
      </c>
      <c r="E12" s="210">
        <v>967878764</v>
      </c>
      <c r="F12" s="210">
        <v>929673728</v>
      </c>
      <c r="G12" s="210">
        <v>956038426</v>
      </c>
      <c r="I12" s="163"/>
      <c r="M12" s="156" t="s">
        <v>265</v>
      </c>
      <c r="N12" s="212">
        <f>D12*3.6/1000000000</f>
        <v>3.1069270944</v>
      </c>
      <c r="O12" s="212">
        <f>D14*3.6/1000000000</f>
        <v>3.0410626572000004</v>
      </c>
      <c r="P12" s="156" t="s">
        <v>117</v>
      </c>
    </row>
    <row r="13" spans="2:16" x14ac:dyDescent="0.25">
      <c r="B13" s="179">
        <v>2016</v>
      </c>
      <c r="C13" s="211" t="s">
        <v>266</v>
      </c>
      <c r="D13" s="210">
        <v>77151379</v>
      </c>
      <c r="E13" s="210">
        <v>70689988</v>
      </c>
      <c r="F13" s="210">
        <v>74940175</v>
      </c>
      <c r="G13" s="210">
        <v>81060692</v>
      </c>
      <c r="I13" s="163"/>
      <c r="M13" s="156" t="s">
        <v>232</v>
      </c>
      <c r="N13" s="212">
        <f>D13*3.6/1000000000</f>
        <v>0.27774496440000002</v>
      </c>
      <c r="O13" s="212">
        <f>D15*3.6/1000000000</f>
        <v>0.29322263879999999</v>
      </c>
      <c r="P13" s="156" t="s">
        <v>117</v>
      </c>
    </row>
    <row r="14" spans="2:16" x14ac:dyDescent="0.25">
      <c r="B14" s="179">
        <v>2017</v>
      </c>
      <c r="C14" s="211" t="s">
        <v>264</v>
      </c>
      <c r="D14" s="210">
        <v>844739627</v>
      </c>
      <c r="I14" s="163"/>
      <c r="O14" s="212">
        <f>SUM(O12:O13)</f>
        <v>3.3342852960000005</v>
      </c>
    </row>
    <row r="15" spans="2:16" x14ac:dyDescent="0.25">
      <c r="B15" s="181">
        <v>2017</v>
      </c>
      <c r="C15" s="182" t="s">
        <v>266</v>
      </c>
      <c r="D15" s="213">
        <v>81450733</v>
      </c>
      <c r="E15" s="182"/>
      <c r="F15" s="182"/>
      <c r="G15" s="182"/>
      <c r="H15" s="182"/>
      <c r="I15" s="183"/>
    </row>
    <row r="21" spans="2:11" x14ac:dyDescent="0.25">
      <c r="B21" s="156" t="s">
        <v>226</v>
      </c>
    </row>
    <row r="22" spans="2:11" x14ac:dyDescent="0.25">
      <c r="B22" s="184"/>
      <c r="C22" s="158"/>
      <c r="D22" s="158"/>
      <c r="E22" s="158"/>
      <c r="F22" s="158"/>
      <c r="G22" s="158"/>
      <c r="H22" s="158"/>
      <c r="I22" s="158"/>
      <c r="J22" s="158"/>
      <c r="K22" s="159"/>
    </row>
    <row r="23" spans="2:11" x14ac:dyDescent="0.25">
      <c r="B23" s="179"/>
      <c r="C23" s="155" t="s">
        <v>227</v>
      </c>
      <c r="K23" s="163"/>
    </row>
    <row r="24" spans="2:11" x14ac:dyDescent="0.25">
      <c r="B24" s="179"/>
      <c r="K24" s="163"/>
    </row>
    <row r="25" spans="2:11" ht="60" x14ac:dyDescent="0.25">
      <c r="B25" s="179"/>
      <c r="C25" s="192" t="s">
        <v>228</v>
      </c>
      <c r="D25" s="193" t="s">
        <v>229</v>
      </c>
      <c r="E25" s="193" t="s">
        <v>230</v>
      </c>
      <c r="F25" s="193" t="s">
        <v>231</v>
      </c>
      <c r="G25" s="194" t="s">
        <v>232</v>
      </c>
      <c r="I25" s="194" t="s">
        <v>233</v>
      </c>
      <c r="K25" s="163"/>
    </row>
    <row r="26" spans="2:11" x14ac:dyDescent="0.25">
      <c r="B26" s="179"/>
      <c r="C26" s="321"/>
      <c r="D26" s="321"/>
      <c r="E26" s="321"/>
      <c r="F26" s="321"/>
      <c r="G26" s="321"/>
      <c r="H26" s="321"/>
      <c r="I26" s="321"/>
      <c r="K26" s="163"/>
    </row>
    <row r="27" spans="2:11" x14ac:dyDescent="0.25">
      <c r="B27" s="179"/>
      <c r="C27" s="321"/>
      <c r="D27" s="321"/>
      <c r="E27" s="321"/>
      <c r="F27" s="321"/>
      <c r="G27" s="321"/>
      <c r="H27" s="321"/>
      <c r="I27" s="321"/>
      <c r="J27" s="321"/>
      <c r="K27" s="322"/>
    </row>
    <row r="28" spans="2:11" x14ac:dyDescent="0.25">
      <c r="B28" s="179"/>
      <c r="C28" s="195" t="s">
        <v>179</v>
      </c>
      <c r="D28" s="196">
        <v>0.82899999999999996</v>
      </c>
      <c r="E28" s="196">
        <v>0.998</v>
      </c>
      <c r="F28" s="196">
        <v>0.71299999999999997</v>
      </c>
      <c r="G28" s="323">
        <v>0.34</v>
      </c>
      <c r="H28" s="324"/>
      <c r="I28" s="323">
        <v>0.21</v>
      </c>
      <c r="J28" s="325"/>
      <c r="K28" s="326"/>
    </row>
    <row r="29" spans="2:11" x14ac:dyDescent="0.25">
      <c r="B29" s="179"/>
      <c r="C29" s="197" t="s">
        <v>143</v>
      </c>
      <c r="D29" s="198" t="s">
        <v>234</v>
      </c>
      <c r="E29" s="198" t="s">
        <v>234</v>
      </c>
      <c r="F29" s="199">
        <v>0.252</v>
      </c>
      <c r="G29" s="327">
        <v>0.64100000000000001</v>
      </c>
      <c r="H29" s="328"/>
      <c r="I29" s="327">
        <v>0.78</v>
      </c>
      <c r="J29" s="329"/>
      <c r="K29" s="330"/>
    </row>
    <row r="30" spans="2:11" x14ac:dyDescent="0.25">
      <c r="B30" s="179"/>
      <c r="C30" s="197" t="s">
        <v>235</v>
      </c>
      <c r="D30" s="199">
        <v>0.17100000000000001</v>
      </c>
      <c r="E30" s="198" t="s">
        <v>234</v>
      </c>
      <c r="F30" s="200">
        <v>2.99E-3</v>
      </c>
      <c r="G30" s="313">
        <v>1.9099999999999999E-2</v>
      </c>
      <c r="H30" s="314"/>
      <c r="I30" s="313">
        <v>0.01</v>
      </c>
      <c r="J30" s="315"/>
      <c r="K30" s="316"/>
    </row>
    <row r="31" spans="2:11" x14ac:dyDescent="0.25">
      <c r="B31" s="179"/>
      <c r="C31" s="197" t="s">
        <v>180</v>
      </c>
      <c r="D31" s="198" t="s">
        <v>234</v>
      </c>
      <c r="E31" s="200">
        <v>1.7700000000000001E-3</v>
      </c>
      <c r="F31" s="201">
        <v>3.1300000000000001E-2</v>
      </c>
      <c r="G31" s="317" t="s">
        <v>234</v>
      </c>
      <c r="H31" s="318"/>
      <c r="I31" s="317" t="s">
        <v>234</v>
      </c>
      <c r="J31" s="319"/>
      <c r="K31" s="320"/>
    </row>
    <row r="32" spans="2:11" x14ac:dyDescent="0.25">
      <c r="B32" s="179"/>
      <c r="K32" s="163"/>
    </row>
    <row r="33" spans="2:19" ht="15.75" x14ac:dyDescent="0.25">
      <c r="B33" s="179"/>
      <c r="C33" s="202" t="s">
        <v>236</v>
      </c>
      <c r="K33" s="163"/>
    </row>
    <row r="34" spans="2:19" x14ac:dyDescent="0.25">
      <c r="B34" s="179"/>
      <c r="K34" s="163"/>
    </row>
    <row r="35" spans="2:19" x14ac:dyDescent="0.25">
      <c r="B35" s="179"/>
      <c r="C35" s="203" t="s">
        <v>237</v>
      </c>
      <c r="D35" s="204" t="s">
        <v>238</v>
      </c>
      <c r="E35" s="203" t="s">
        <v>43</v>
      </c>
      <c r="K35" s="163"/>
    </row>
    <row r="36" spans="2:19" x14ac:dyDescent="0.25">
      <c r="B36" s="179"/>
      <c r="C36" s="205" t="s">
        <v>229</v>
      </c>
      <c r="D36" s="206">
        <v>0.3</v>
      </c>
      <c r="E36" s="205" t="s">
        <v>239</v>
      </c>
      <c r="K36" s="163"/>
    </row>
    <row r="37" spans="2:19" x14ac:dyDescent="0.25">
      <c r="B37" s="179"/>
      <c r="C37" s="205" t="s">
        <v>230</v>
      </c>
      <c r="D37" s="206">
        <v>0.15</v>
      </c>
      <c r="E37" s="205" t="s">
        <v>240</v>
      </c>
      <c r="K37" s="163"/>
    </row>
    <row r="38" spans="2:19" x14ac:dyDescent="0.25">
      <c r="B38" s="179"/>
      <c r="C38" s="205" t="s">
        <v>231</v>
      </c>
      <c r="D38" s="190">
        <v>4.53</v>
      </c>
      <c r="E38" s="205" t="s">
        <v>241</v>
      </c>
      <c r="K38" s="163"/>
    </row>
    <row r="39" spans="2:19" x14ac:dyDescent="0.25">
      <c r="B39" s="179"/>
      <c r="C39" s="205" t="s">
        <v>232</v>
      </c>
      <c r="D39" s="190">
        <v>1.77</v>
      </c>
      <c r="E39" s="205" t="s">
        <v>241</v>
      </c>
      <c r="K39" s="163"/>
    </row>
    <row r="40" spans="2:19" x14ac:dyDescent="0.25">
      <c r="B40" s="179"/>
      <c r="C40" s="205" t="s">
        <v>242</v>
      </c>
      <c r="D40" s="190">
        <v>3.13</v>
      </c>
      <c r="E40" s="205" t="s">
        <v>243</v>
      </c>
      <c r="K40" s="163"/>
    </row>
    <row r="41" spans="2:19" x14ac:dyDescent="0.25">
      <c r="B41" s="179"/>
      <c r="K41" s="163"/>
    </row>
    <row r="42" spans="2:19" ht="15.75" x14ac:dyDescent="0.25">
      <c r="B42" s="181"/>
      <c r="C42" s="182"/>
      <c r="D42" s="182"/>
      <c r="E42" s="182"/>
      <c r="F42" s="182"/>
      <c r="G42" s="182"/>
      <c r="H42" s="182"/>
      <c r="I42" s="182"/>
      <c r="J42" s="182"/>
      <c r="K42" s="183"/>
      <c r="P42" s="214">
        <v>277777777.77778</v>
      </c>
    </row>
    <row r="45" spans="2:19" x14ac:dyDescent="0.25">
      <c r="C45" s="156" t="s">
        <v>267</v>
      </c>
      <c r="N45" s="156" t="s">
        <v>268</v>
      </c>
    </row>
    <row r="46" spans="2:19" x14ac:dyDescent="0.25">
      <c r="C46" s="184" t="s">
        <v>269</v>
      </c>
      <c r="D46" s="158"/>
      <c r="E46" s="158"/>
      <c r="F46" s="158"/>
      <c r="G46" s="158"/>
      <c r="H46" s="158"/>
      <c r="I46" s="158"/>
      <c r="J46" s="158"/>
      <c r="K46" s="159"/>
      <c r="N46" s="215"/>
      <c r="O46" s="215" t="s">
        <v>270</v>
      </c>
      <c r="P46" s="215" t="s">
        <v>117</v>
      </c>
    </row>
    <row r="47" spans="2:19" x14ac:dyDescent="0.25">
      <c r="C47" s="216"/>
      <c r="D47" s="210" t="s">
        <v>260</v>
      </c>
      <c r="E47" s="210" t="s">
        <v>261</v>
      </c>
      <c r="F47" s="210" t="s">
        <v>262</v>
      </c>
      <c r="G47" s="210" t="s">
        <v>263</v>
      </c>
      <c r="K47" s="163"/>
      <c r="N47" s="215" t="s">
        <v>271</v>
      </c>
      <c r="O47" s="217">
        <f>SUM(D48:D64)</f>
        <v>2413339600.237287</v>
      </c>
      <c r="P47" s="218">
        <f>O47/$P$42</f>
        <v>8.6880225608541632</v>
      </c>
    </row>
    <row r="48" spans="2:19" x14ac:dyDescent="0.25">
      <c r="C48" s="219" t="s">
        <v>272</v>
      </c>
      <c r="D48" s="210">
        <v>290958558.63728684</v>
      </c>
      <c r="E48" s="210">
        <v>307300126.21666473</v>
      </c>
      <c r="F48" s="210">
        <v>300404853.85631663</v>
      </c>
      <c r="G48" s="210">
        <v>300811071</v>
      </c>
      <c r="K48" s="163"/>
      <c r="L48" s="156" t="s">
        <v>143</v>
      </c>
      <c r="N48" s="215" t="s">
        <v>273</v>
      </c>
      <c r="O48" s="220">
        <f>SUMIFS($D$48:$D$64,$L$48:$L$64,S48)</f>
        <v>290958558.63728684</v>
      </c>
      <c r="P48" s="218">
        <f>O48/$P$42</f>
        <v>1.0474508110942242</v>
      </c>
      <c r="S48" s="156" t="s">
        <v>143</v>
      </c>
    </row>
    <row r="49" spans="3:19" x14ac:dyDescent="0.25">
      <c r="C49" s="219" t="s">
        <v>274</v>
      </c>
      <c r="D49" s="210">
        <v>942148435</v>
      </c>
      <c r="E49" s="210">
        <v>940526069</v>
      </c>
      <c r="F49" s="210">
        <v>946923701</v>
      </c>
      <c r="G49" s="210">
        <v>912788983</v>
      </c>
      <c r="K49" s="163"/>
      <c r="L49" s="156" t="s">
        <v>275</v>
      </c>
      <c r="N49" s="215" t="s">
        <v>276</v>
      </c>
      <c r="O49" s="220">
        <f>SUMIFS($D$48:$D$64,$L$48:$L$64,S49)</f>
        <v>863035304</v>
      </c>
      <c r="P49" s="218">
        <f>O49/$P$42</f>
        <v>3.1069270943999752</v>
      </c>
      <c r="S49" s="156" t="s">
        <v>276</v>
      </c>
    </row>
    <row r="50" spans="3:19" x14ac:dyDescent="0.25">
      <c r="C50" s="219" t="s">
        <v>277</v>
      </c>
      <c r="D50" s="210">
        <v>58784544</v>
      </c>
      <c r="E50" s="210">
        <v>59558914</v>
      </c>
      <c r="F50" s="210">
        <v>59049206</v>
      </c>
      <c r="G50" s="210">
        <v>58832346</v>
      </c>
      <c r="K50" s="163"/>
      <c r="L50" s="156" t="s">
        <v>275</v>
      </c>
      <c r="N50" s="215" t="s">
        <v>278</v>
      </c>
      <c r="O50" s="220">
        <f>SUMIFS($D$48:$D$64,$L$48:$L$64,S50)</f>
        <v>1259345737.5999999</v>
      </c>
      <c r="P50" s="218">
        <f>O50/$P$42</f>
        <v>4.5336446553599634</v>
      </c>
      <c r="S50" s="156" t="s">
        <v>275</v>
      </c>
    </row>
    <row r="51" spans="3:19" x14ac:dyDescent="0.25">
      <c r="C51" s="219" t="s">
        <v>279</v>
      </c>
      <c r="D51" s="210">
        <v>31486182</v>
      </c>
      <c r="E51" s="210">
        <v>39590433</v>
      </c>
      <c r="F51" s="210">
        <v>37837112</v>
      </c>
      <c r="G51" s="210">
        <v>40365514</v>
      </c>
      <c r="K51" s="163"/>
      <c r="L51" s="156" t="s">
        <v>275</v>
      </c>
    </row>
    <row r="52" spans="3:19" x14ac:dyDescent="0.25">
      <c r="C52" s="219" t="s">
        <v>280</v>
      </c>
      <c r="D52" s="210">
        <v>34320667</v>
      </c>
      <c r="E52" s="210">
        <v>53727308</v>
      </c>
      <c r="F52" s="210">
        <v>50108407</v>
      </c>
      <c r="G52" s="210">
        <v>48374517</v>
      </c>
      <c r="K52" s="163"/>
      <c r="L52" s="156" t="s">
        <v>275</v>
      </c>
    </row>
    <row r="53" spans="3:19" x14ac:dyDescent="0.25">
      <c r="C53" s="219" t="s">
        <v>281</v>
      </c>
      <c r="D53" s="210">
        <v>10363943</v>
      </c>
      <c r="E53" s="210">
        <v>13315404</v>
      </c>
      <c r="F53" s="210">
        <v>13850195</v>
      </c>
      <c r="G53" s="210">
        <v>13388812</v>
      </c>
      <c r="K53" s="163"/>
      <c r="L53" s="156" t="s">
        <v>275</v>
      </c>
    </row>
    <row r="54" spans="3:19" x14ac:dyDescent="0.25">
      <c r="C54" s="219" t="s">
        <v>264</v>
      </c>
      <c r="D54" s="210">
        <v>863035304</v>
      </c>
      <c r="E54" s="210">
        <v>967878764</v>
      </c>
      <c r="F54" s="210">
        <v>929673728</v>
      </c>
      <c r="G54" s="210">
        <v>956038426</v>
      </c>
      <c r="K54" s="163"/>
      <c r="L54" s="156" t="s">
        <v>276</v>
      </c>
    </row>
    <row r="55" spans="3:19" x14ac:dyDescent="0.25">
      <c r="C55" s="219" t="s">
        <v>282</v>
      </c>
      <c r="D55" s="210">
        <v>48766283</v>
      </c>
      <c r="E55" s="210">
        <v>50577412</v>
      </c>
      <c r="F55" s="210">
        <v>48372115</v>
      </c>
      <c r="G55" s="210">
        <v>49344049</v>
      </c>
      <c r="K55" s="163"/>
      <c r="L55" s="156" t="s">
        <v>275</v>
      </c>
    </row>
    <row r="56" spans="3:19" x14ac:dyDescent="0.25">
      <c r="C56" s="219" t="s">
        <v>283</v>
      </c>
      <c r="D56" s="210">
        <v>655170</v>
      </c>
      <c r="E56" s="210">
        <v>1325639</v>
      </c>
      <c r="F56" s="210">
        <v>1266372</v>
      </c>
      <c r="G56" s="210">
        <v>1410950</v>
      </c>
      <c r="K56" s="163"/>
      <c r="L56" s="156" t="s">
        <v>275</v>
      </c>
    </row>
    <row r="57" spans="3:19" x14ac:dyDescent="0.25">
      <c r="C57" s="219" t="s">
        <v>284</v>
      </c>
      <c r="D57" s="210">
        <v>16637826</v>
      </c>
      <c r="E57" s="210">
        <v>15000837</v>
      </c>
      <c r="F57" s="210">
        <v>18411136</v>
      </c>
      <c r="G57" s="210">
        <v>17394938</v>
      </c>
      <c r="K57" s="163"/>
      <c r="L57" s="156" t="s">
        <v>275</v>
      </c>
    </row>
    <row r="58" spans="3:19" x14ac:dyDescent="0.25">
      <c r="C58" s="219" t="s">
        <v>285</v>
      </c>
      <c r="D58" s="210">
        <v>5977601</v>
      </c>
      <c r="E58" s="210">
        <v>10768248</v>
      </c>
      <c r="F58" s="210">
        <v>10013225</v>
      </c>
      <c r="G58" s="210">
        <v>10151367</v>
      </c>
      <c r="K58" s="163"/>
      <c r="L58" s="156" t="s">
        <v>275</v>
      </c>
    </row>
    <row r="59" spans="3:19" x14ac:dyDescent="0.25">
      <c r="C59" s="219" t="s">
        <v>286</v>
      </c>
      <c r="D59" s="210">
        <v>71912357.599999994</v>
      </c>
      <c r="E59" s="210">
        <v>71645252</v>
      </c>
      <c r="F59" s="210">
        <v>74266196</v>
      </c>
      <c r="G59" s="210">
        <v>76749795</v>
      </c>
      <c r="K59" s="163"/>
      <c r="L59" s="156" t="s">
        <v>275</v>
      </c>
    </row>
    <row r="60" spans="3:19" x14ac:dyDescent="0.25">
      <c r="C60" s="219" t="s">
        <v>287</v>
      </c>
      <c r="D60" s="210">
        <v>282526</v>
      </c>
      <c r="E60" s="210">
        <v>376025</v>
      </c>
      <c r="F60" s="210">
        <v>306719</v>
      </c>
      <c r="G60" s="210">
        <v>452546</v>
      </c>
      <c r="K60" s="163"/>
      <c r="L60" s="156" t="s">
        <v>275</v>
      </c>
    </row>
    <row r="61" spans="3:19" x14ac:dyDescent="0.25">
      <c r="C61" s="219" t="s">
        <v>288</v>
      </c>
      <c r="D61" s="210">
        <v>4997806</v>
      </c>
      <c r="E61" s="210">
        <v>5769662</v>
      </c>
      <c r="F61" s="210">
        <v>6194621</v>
      </c>
      <c r="G61" s="210">
        <v>6228754</v>
      </c>
      <c r="K61" s="163"/>
      <c r="L61" s="156" t="s">
        <v>275</v>
      </c>
    </row>
    <row r="62" spans="3:19" x14ac:dyDescent="0.25">
      <c r="C62" s="219" t="s">
        <v>289</v>
      </c>
      <c r="D62" s="210">
        <v>3065886</v>
      </c>
      <c r="E62" s="210">
        <v>3498255</v>
      </c>
      <c r="F62" s="210">
        <v>2528054</v>
      </c>
      <c r="G62" s="210">
        <v>2988641</v>
      </c>
      <c r="K62" s="163"/>
      <c r="L62" s="156" t="s">
        <v>275</v>
      </c>
    </row>
    <row r="63" spans="3:19" x14ac:dyDescent="0.25">
      <c r="C63" s="219" t="s">
        <v>290</v>
      </c>
      <c r="D63" s="210">
        <v>29134952</v>
      </c>
      <c r="E63" s="210">
        <v>28663927</v>
      </c>
      <c r="F63" s="210">
        <v>30973663</v>
      </c>
      <c r="G63" s="210">
        <v>31624878</v>
      </c>
      <c r="K63" s="163"/>
      <c r="L63" s="156" t="s">
        <v>275</v>
      </c>
    </row>
    <row r="64" spans="3:19" x14ac:dyDescent="0.25">
      <c r="C64" s="219" t="s">
        <v>291</v>
      </c>
      <c r="D64" s="210">
        <v>811559</v>
      </c>
      <c r="E64" s="210">
        <v>791226</v>
      </c>
      <c r="F64" s="210">
        <v>691350</v>
      </c>
      <c r="G64" s="210">
        <v>795809</v>
      </c>
      <c r="K64" s="163"/>
      <c r="L64" s="156" t="s">
        <v>275</v>
      </c>
    </row>
    <row r="65" spans="3:11" x14ac:dyDescent="0.25">
      <c r="C65" s="179"/>
      <c r="K65" s="163"/>
    </row>
    <row r="66" spans="3:11" x14ac:dyDescent="0.25">
      <c r="C66" s="179"/>
      <c r="K66" s="163"/>
    </row>
    <row r="67" spans="3:11" x14ac:dyDescent="0.25">
      <c r="C67" s="216"/>
      <c r="D67" s="210" t="s">
        <v>260</v>
      </c>
      <c r="E67" s="210" t="s">
        <v>261</v>
      </c>
      <c r="F67" s="210" t="s">
        <v>262</v>
      </c>
      <c r="G67" s="210" t="s">
        <v>263</v>
      </c>
      <c r="K67" s="163"/>
    </row>
    <row r="68" spans="3:11" x14ac:dyDescent="0.25">
      <c r="C68" s="219" t="s">
        <v>266</v>
      </c>
      <c r="D68" s="210">
        <v>77151379</v>
      </c>
      <c r="E68" s="210">
        <v>70689988</v>
      </c>
      <c r="F68" s="210">
        <v>74940175</v>
      </c>
      <c r="G68" s="210">
        <v>81060692</v>
      </c>
      <c r="K68" s="163"/>
    </row>
    <row r="69" spans="3:11" x14ac:dyDescent="0.25">
      <c r="C69" s="219" t="s">
        <v>292</v>
      </c>
      <c r="D69" s="210">
        <v>40561</v>
      </c>
      <c r="E69" s="210">
        <v>48254</v>
      </c>
      <c r="F69" s="210">
        <v>45347</v>
      </c>
      <c r="G69" s="210">
        <v>45369</v>
      </c>
      <c r="K69" s="163"/>
    </row>
    <row r="70" spans="3:11" x14ac:dyDescent="0.25">
      <c r="C70" s="179"/>
      <c r="K70" s="163"/>
    </row>
    <row r="71" spans="3:11" x14ac:dyDescent="0.25">
      <c r="C71" s="181"/>
      <c r="D71" s="182"/>
      <c r="E71" s="182"/>
      <c r="F71" s="182"/>
      <c r="G71" s="182"/>
      <c r="H71" s="182"/>
      <c r="I71" s="182"/>
      <c r="J71" s="182"/>
      <c r="K71" s="183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dimension ref="C1:E2"/>
  <sheetViews>
    <sheetView workbookViewId="0">
      <selection activeCell="H11" sqref="H11"/>
    </sheetView>
  </sheetViews>
  <sheetFormatPr defaultRowHeight="12.75" x14ac:dyDescent="0.2"/>
  <cols>
    <col min="3" max="3" width="49.85546875" customWidth="1"/>
    <col min="5" max="5" width="9.28515625" bestFit="1" customWidth="1"/>
  </cols>
  <sheetData>
    <row r="1" spans="3:5" x14ac:dyDescent="0.2">
      <c r="C1" s="1" t="s">
        <v>15</v>
      </c>
      <c r="D1" s="1" t="s">
        <v>549</v>
      </c>
      <c r="E1" s="1" t="s">
        <v>357</v>
      </c>
    </row>
    <row r="2" spans="3:5" x14ac:dyDescent="0.2">
      <c r="D2" s="92"/>
      <c r="E2" s="30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>
      <selection activeCell="H14" sqref="H14"/>
    </sheetView>
  </sheetViews>
  <sheetFormatPr defaultColWidth="8.85546875" defaultRowHeight="15" x14ac:dyDescent="0.25"/>
  <cols>
    <col min="1" max="16384" width="8.85546875" style="156"/>
  </cols>
  <sheetData>
    <row r="5" spans="3:7" x14ac:dyDescent="0.25">
      <c r="C5" s="331" t="s">
        <v>293</v>
      </c>
      <c r="D5" s="331"/>
      <c r="E5" s="331"/>
      <c r="F5" s="331"/>
      <c r="G5" s="331"/>
    </row>
    <row r="6" spans="3:7" x14ac:dyDescent="0.25">
      <c r="C6" s="207" t="s">
        <v>294</v>
      </c>
      <c r="D6" s="207" t="s">
        <v>295</v>
      </c>
      <c r="E6" s="207" t="s">
        <v>230</v>
      </c>
      <c r="F6" s="207" t="s">
        <v>231</v>
      </c>
      <c r="G6" s="207" t="s">
        <v>232</v>
      </c>
    </row>
    <row r="7" spans="3:7" x14ac:dyDescent="0.25">
      <c r="C7" s="207" t="s">
        <v>296</v>
      </c>
      <c r="D7" s="208">
        <v>0.82912844036697242</v>
      </c>
      <c r="E7" s="208">
        <v>0.99823321554770317</v>
      </c>
      <c r="F7" s="208">
        <v>0.71343283582089556</v>
      </c>
      <c r="G7" s="208">
        <v>0.33969465648854968</v>
      </c>
    </row>
    <row r="8" spans="3:7" x14ac:dyDescent="0.25">
      <c r="C8" s="207" t="s">
        <v>297</v>
      </c>
      <c r="D8" s="221" t="s">
        <v>234</v>
      </c>
      <c r="E8" s="221" t="s">
        <v>234</v>
      </c>
      <c r="F8" s="208">
        <v>0.25223880597014925</v>
      </c>
      <c r="G8" s="208">
        <v>0.6412213740458016</v>
      </c>
    </row>
    <row r="9" spans="3:7" x14ac:dyDescent="0.25">
      <c r="C9" s="207" t="s">
        <v>298</v>
      </c>
      <c r="D9" s="208">
        <v>0.1708715596330275</v>
      </c>
      <c r="E9" s="221" t="s">
        <v>234</v>
      </c>
      <c r="F9" s="208">
        <v>2.9850746268656717E-3</v>
      </c>
      <c r="G9" s="208">
        <v>1.9083969465648859E-2</v>
      </c>
    </row>
    <row r="10" spans="3:7" x14ac:dyDescent="0.25">
      <c r="C10" s="207" t="s">
        <v>299</v>
      </c>
      <c r="D10" s="221" t="s">
        <v>234</v>
      </c>
      <c r="E10" s="208">
        <v>1.7667844522968198E-3</v>
      </c>
      <c r="F10" s="208">
        <v>3.134328358208955E-2</v>
      </c>
      <c r="G10" s="221" t="s">
        <v>234</v>
      </c>
    </row>
    <row r="11" spans="3:7" x14ac:dyDescent="0.25">
      <c r="C11" s="222"/>
      <c r="D11" s="222"/>
      <c r="E11" s="222"/>
      <c r="F11" s="222"/>
      <c r="G11" s="222"/>
    </row>
    <row r="12" spans="3:7" x14ac:dyDescent="0.25">
      <c r="C12" s="331" t="s">
        <v>300</v>
      </c>
      <c r="D12" s="331"/>
      <c r="E12" s="331"/>
      <c r="F12" s="222"/>
      <c r="G12" s="222"/>
    </row>
    <row r="13" spans="3:7" x14ac:dyDescent="0.25">
      <c r="C13" s="207"/>
      <c r="D13" s="207" t="s">
        <v>238</v>
      </c>
      <c r="E13" s="207" t="s">
        <v>43</v>
      </c>
      <c r="F13" s="222"/>
      <c r="G13" s="222"/>
    </row>
    <row r="14" spans="3:7" x14ac:dyDescent="0.25">
      <c r="C14" s="207" t="s">
        <v>229</v>
      </c>
      <c r="D14" s="207">
        <v>0.3</v>
      </c>
      <c r="E14" s="207" t="s">
        <v>239</v>
      </c>
      <c r="F14" s="222"/>
      <c r="G14" s="222"/>
    </row>
    <row r="15" spans="3:7" x14ac:dyDescent="0.25">
      <c r="C15" s="207" t="s">
        <v>230</v>
      </c>
      <c r="D15" s="207">
        <v>0.15</v>
      </c>
      <c r="E15" s="207" t="s">
        <v>240</v>
      </c>
      <c r="F15" s="222"/>
      <c r="G15" s="222"/>
    </row>
    <row r="16" spans="3:7" x14ac:dyDescent="0.25">
      <c r="C16" s="207" t="s">
        <v>231</v>
      </c>
      <c r="D16" s="207">
        <v>4.53</v>
      </c>
      <c r="E16" s="207" t="s">
        <v>241</v>
      </c>
      <c r="F16" s="222"/>
      <c r="G16" s="222"/>
    </row>
    <row r="17" spans="3:7" x14ac:dyDescent="0.25">
      <c r="C17" s="207" t="s">
        <v>232</v>
      </c>
      <c r="D17" s="207">
        <v>1.77</v>
      </c>
      <c r="E17" s="207" t="s">
        <v>241</v>
      </c>
      <c r="F17" s="222"/>
      <c r="G17" s="222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zoomScaleNormal="100" workbookViewId="0">
      <selection activeCell="Z58" sqref="W58:Z58"/>
    </sheetView>
  </sheetViews>
  <sheetFormatPr defaultColWidth="8.85546875" defaultRowHeight="15" x14ac:dyDescent="0.25"/>
  <cols>
    <col min="1" max="16384" width="8.85546875" style="156"/>
  </cols>
  <sheetData>
    <row r="1" spans="1:27" x14ac:dyDescent="0.25">
      <c r="A1" s="156" t="s">
        <v>301</v>
      </c>
      <c r="C1" s="156" t="s">
        <v>302</v>
      </c>
    </row>
    <row r="15" spans="1:27" x14ac:dyDescent="0.25">
      <c r="AA15" s="156" t="s">
        <v>303</v>
      </c>
    </row>
    <row r="16" spans="1:27" x14ac:dyDescent="0.25">
      <c r="V16" s="155" t="s">
        <v>304</v>
      </c>
      <c r="W16" s="155" t="s">
        <v>305</v>
      </c>
      <c r="X16" s="155"/>
      <c r="Y16" s="155" t="s">
        <v>306</v>
      </c>
    </row>
    <row r="17" spans="21:27" x14ac:dyDescent="0.25">
      <c r="U17" s="155" t="s">
        <v>307</v>
      </c>
      <c r="V17" s="223">
        <v>0.372</v>
      </c>
      <c r="W17" s="223">
        <f>1-V17</f>
        <v>0.628</v>
      </c>
      <c r="Y17" s="156">
        <v>255</v>
      </c>
      <c r="AA17" s="156">
        <f>Y17*W17</f>
        <v>160.14000000000001</v>
      </c>
    </row>
    <row r="18" spans="21:27" x14ac:dyDescent="0.25">
      <c r="U18" s="155" t="s">
        <v>308</v>
      </c>
      <c r="V18" s="224">
        <v>0.29099999999999998</v>
      </c>
      <c r="W18" s="223">
        <f>1-V18</f>
        <v>0.70900000000000007</v>
      </c>
      <c r="Y18" s="156">
        <v>168</v>
      </c>
      <c r="AA18" s="156">
        <f>Y18*W18</f>
        <v>119.11200000000001</v>
      </c>
    </row>
    <row r="19" spans="21:27" x14ac:dyDescent="0.25">
      <c r="U19" s="155" t="s">
        <v>224</v>
      </c>
      <c r="V19" s="224">
        <v>7.9000000000000001E-2</v>
      </c>
      <c r="W19" s="223">
        <f>1-V19</f>
        <v>0.92100000000000004</v>
      </c>
      <c r="Y19" s="156">
        <v>226</v>
      </c>
      <c r="AA19" s="156">
        <f>Y19*W19</f>
        <v>208.14600000000002</v>
      </c>
    </row>
    <row r="20" spans="21:27" x14ac:dyDescent="0.25">
      <c r="U20" s="155" t="s">
        <v>309</v>
      </c>
      <c r="V20" s="224">
        <v>0.23599999999999999</v>
      </c>
      <c r="W20" s="223">
        <f>1-V20</f>
        <v>0.76400000000000001</v>
      </c>
      <c r="Y20" s="225">
        <f>AVERAGE(Y17:Y19)</f>
        <v>216.33333333333334</v>
      </c>
      <c r="Z20" s="156" t="s">
        <v>310</v>
      </c>
      <c r="AA20" s="156">
        <f>Y20*W20</f>
        <v>165.27866666666668</v>
      </c>
    </row>
    <row r="22" spans="21:27" x14ac:dyDescent="0.25">
      <c r="Y22" s="156">
        <f>AVERAGE(Y17:Y20)</f>
        <v>216.33333333333334</v>
      </c>
      <c r="AA22" s="156">
        <f>AVERAGE(AA17:AA20)</f>
        <v>163.16916666666668</v>
      </c>
    </row>
    <row r="57" spans="21:29" x14ac:dyDescent="0.25">
      <c r="W57" s="226"/>
      <c r="X57" s="226"/>
      <c r="Y57" s="226"/>
      <c r="Z57" s="226"/>
      <c r="AA57" s="226"/>
    </row>
    <row r="58" spans="21:29" x14ac:dyDescent="0.25">
      <c r="V58" s="156" t="s">
        <v>311</v>
      </c>
      <c r="W58" s="156" t="s">
        <v>312</v>
      </c>
      <c r="X58" s="156" t="s">
        <v>313</v>
      </c>
      <c r="Y58" s="156" t="s">
        <v>314</v>
      </c>
      <c r="Z58" s="156" t="s">
        <v>201</v>
      </c>
      <c r="AA58" s="156" t="s">
        <v>315</v>
      </c>
    </row>
    <row r="59" spans="21:29" x14ac:dyDescent="0.25">
      <c r="U59" s="155" t="s">
        <v>316</v>
      </c>
      <c r="V59" s="155">
        <v>90.13</v>
      </c>
      <c r="W59" s="155">
        <v>163.5</v>
      </c>
      <c r="X59" s="155">
        <v>102.8</v>
      </c>
      <c r="Y59" s="155">
        <v>19.47</v>
      </c>
      <c r="Z59" s="155">
        <v>5</v>
      </c>
      <c r="AA59" s="155">
        <f>SUM(W59:Z59)</f>
        <v>290.77</v>
      </c>
    </row>
    <row r="60" spans="21:29" x14ac:dyDescent="0.25">
      <c r="U60" s="156" t="s">
        <v>317</v>
      </c>
      <c r="V60" s="156">
        <v>2</v>
      </c>
      <c r="W60" s="156">
        <v>2.7759999999999998</v>
      </c>
      <c r="X60" s="156">
        <v>2.3149999999999999</v>
      </c>
      <c r="Y60" s="156">
        <v>0.25</v>
      </c>
      <c r="AA60" s="156">
        <f>SUM(W60:Z60)</f>
        <v>5.3409999999999993</v>
      </c>
    </row>
    <row r="61" spans="21:29" x14ac:dyDescent="0.25">
      <c r="U61" s="156" t="s">
        <v>318</v>
      </c>
      <c r="V61" s="156">
        <v>1</v>
      </c>
      <c r="W61" s="156">
        <v>3.919</v>
      </c>
      <c r="X61" s="156">
        <v>13.17</v>
      </c>
      <c r="AA61" s="156">
        <f>SUM(W61:Z61)</f>
        <v>17.088999999999999</v>
      </c>
    </row>
    <row r="62" spans="21:29" x14ac:dyDescent="0.25">
      <c r="U62" s="156" t="s">
        <v>319</v>
      </c>
      <c r="V62" s="156">
        <v>4.7320000000000002</v>
      </c>
      <c r="W62" s="156">
        <v>0.6</v>
      </c>
      <c r="X62" s="156">
        <v>7.327</v>
      </c>
      <c r="Z62" s="156">
        <v>0.58199999999999996</v>
      </c>
      <c r="AA62" s="156">
        <f>SUM(W62:Z62)</f>
        <v>8.5090000000000003</v>
      </c>
    </row>
    <row r="64" spans="21:29" x14ac:dyDescent="0.25">
      <c r="U64" s="155" t="s">
        <v>320</v>
      </c>
      <c r="V64" s="155">
        <f t="shared" ref="V64:AA64" si="0">V59-SUM(V60:V62)</f>
        <v>82.397999999999996</v>
      </c>
      <c r="W64" s="155">
        <f>W59-SUM(W60:W62)</f>
        <v>156.20500000000001</v>
      </c>
      <c r="X64" s="155">
        <f t="shared" si="0"/>
        <v>79.988</v>
      </c>
      <c r="Y64" s="155">
        <f t="shared" si="0"/>
        <v>19.22</v>
      </c>
      <c r="Z64" s="155">
        <f t="shared" si="0"/>
        <v>4.4180000000000001</v>
      </c>
      <c r="AA64" s="155">
        <f t="shared" si="0"/>
        <v>259.83099999999996</v>
      </c>
      <c r="AC64" s="227">
        <f>AA64/AA59</f>
        <v>0.89359631323726652</v>
      </c>
    </row>
    <row r="65" spans="21:27" x14ac:dyDescent="0.25">
      <c r="U65" s="155"/>
      <c r="V65" s="155"/>
      <c r="W65" s="228">
        <f>W64/$AA$64</f>
        <v>0.60117922803668555</v>
      </c>
      <c r="X65" s="228">
        <f>X64/$AA$64</f>
        <v>0.30784625391119619</v>
      </c>
      <c r="Y65" s="228">
        <f>Y64/$AA$64</f>
        <v>7.3971158175891255E-2</v>
      </c>
      <c r="Z65" s="228">
        <f>Z64/$AA$64</f>
        <v>1.7003359876227243E-2</v>
      </c>
      <c r="AA65" s="15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dimension ref="E9:M31"/>
  <sheetViews>
    <sheetView workbookViewId="0">
      <selection activeCell="L29" sqref="L29:N34"/>
    </sheetView>
  </sheetViews>
  <sheetFormatPr defaultRowHeight="12.75" x14ac:dyDescent="0.2"/>
  <cols>
    <col min="5" max="5" width="13.140625" customWidth="1"/>
  </cols>
  <sheetData>
    <row r="9" spans="5:10" x14ac:dyDescent="0.2">
      <c r="E9" t="s">
        <v>535</v>
      </c>
      <c r="F9" t="s">
        <v>234</v>
      </c>
      <c r="G9" t="s">
        <v>234</v>
      </c>
      <c r="H9" t="s">
        <v>536</v>
      </c>
      <c r="J9">
        <v>0</v>
      </c>
    </row>
    <row r="10" spans="5:10" x14ac:dyDescent="0.2">
      <c r="E10" t="s">
        <v>535</v>
      </c>
      <c r="F10" t="s">
        <v>234</v>
      </c>
      <c r="G10" t="s">
        <v>234</v>
      </c>
      <c r="H10" t="s">
        <v>537</v>
      </c>
      <c r="J10">
        <v>15.182499999999999</v>
      </c>
    </row>
    <row r="11" spans="5:10" x14ac:dyDescent="0.2">
      <c r="E11" t="s">
        <v>535</v>
      </c>
      <c r="F11" t="s">
        <v>234</v>
      </c>
      <c r="G11" t="s">
        <v>234</v>
      </c>
      <c r="H11" t="s">
        <v>538</v>
      </c>
      <c r="J11">
        <v>0</v>
      </c>
    </row>
    <row r="12" spans="5:10" x14ac:dyDescent="0.2">
      <c r="E12" t="s">
        <v>535</v>
      </c>
      <c r="F12" t="s">
        <v>234</v>
      </c>
      <c r="G12" t="s">
        <v>234</v>
      </c>
      <c r="H12" t="s">
        <v>539</v>
      </c>
      <c r="J12">
        <v>0</v>
      </c>
    </row>
    <row r="13" spans="5:10" x14ac:dyDescent="0.2">
      <c r="E13" t="s">
        <v>535</v>
      </c>
      <c r="F13" t="s">
        <v>234</v>
      </c>
      <c r="G13" t="s">
        <v>234</v>
      </c>
      <c r="H13" t="s">
        <v>540</v>
      </c>
      <c r="J13">
        <v>0</v>
      </c>
    </row>
    <row r="14" spans="5:10" x14ac:dyDescent="0.2">
      <c r="E14" t="s">
        <v>535</v>
      </c>
      <c r="F14" t="s">
        <v>234</v>
      </c>
      <c r="G14" t="s">
        <v>234</v>
      </c>
      <c r="H14" t="s">
        <v>541</v>
      </c>
      <c r="J14">
        <v>4.0077999999999996</v>
      </c>
    </row>
    <row r="15" spans="5:10" x14ac:dyDescent="0.2">
      <c r="E15" t="s">
        <v>535</v>
      </c>
      <c r="F15" t="s">
        <v>234</v>
      </c>
      <c r="G15" t="s">
        <v>234</v>
      </c>
      <c r="H15" t="s">
        <v>542</v>
      </c>
      <c r="J15">
        <v>0</v>
      </c>
    </row>
    <row r="16" spans="5:10" x14ac:dyDescent="0.2">
      <c r="E16" t="s">
        <v>535</v>
      </c>
      <c r="F16" t="s">
        <v>234</v>
      </c>
      <c r="G16" t="s">
        <v>234</v>
      </c>
      <c r="H16" t="s">
        <v>536</v>
      </c>
    </row>
    <row r="17" spans="5:13" x14ac:dyDescent="0.2">
      <c r="E17" t="s">
        <v>535</v>
      </c>
      <c r="F17" t="s">
        <v>234</v>
      </c>
      <c r="G17" t="s">
        <v>234</v>
      </c>
      <c r="H17" t="s">
        <v>538</v>
      </c>
    </row>
    <row r="18" spans="5:13" x14ac:dyDescent="0.2">
      <c r="E18" t="s">
        <v>535</v>
      </c>
      <c r="F18" t="s">
        <v>234</v>
      </c>
      <c r="G18" t="s">
        <v>234</v>
      </c>
      <c r="H18" t="s">
        <v>539</v>
      </c>
    </row>
    <row r="19" spans="5:13" x14ac:dyDescent="0.2">
      <c r="E19" t="s">
        <v>535</v>
      </c>
      <c r="F19" t="s">
        <v>234</v>
      </c>
      <c r="G19" t="s">
        <v>234</v>
      </c>
      <c r="H19" t="s">
        <v>540</v>
      </c>
    </row>
    <row r="20" spans="5:13" x14ac:dyDescent="0.2">
      <c r="E20" t="s">
        <v>535</v>
      </c>
      <c r="F20" t="s">
        <v>234</v>
      </c>
      <c r="G20" t="s">
        <v>234</v>
      </c>
      <c r="H20" t="s">
        <v>543</v>
      </c>
    </row>
    <row r="21" spans="5:13" x14ac:dyDescent="0.2">
      <c r="E21" t="s">
        <v>535</v>
      </c>
      <c r="F21" t="s">
        <v>234</v>
      </c>
      <c r="G21" t="s">
        <v>234</v>
      </c>
      <c r="H21" t="s">
        <v>542</v>
      </c>
    </row>
    <row r="22" spans="5:13" x14ac:dyDescent="0.2">
      <c r="E22" t="s">
        <v>544</v>
      </c>
      <c r="F22" t="s">
        <v>234</v>
      </c>
      <c r="G22" t="s">
        <v>234</v>
      </c>
      <c r="H22" t="s">
        <v>536</v>
      </c>
      <c r="J22">
        <v>0</v>
      </c>
    </row>
    <row r="23" spans="5:13" x14ac:dyDescent="0.2">
      <c r="E23" t="s">
        <v>544</v>
      </c>
      <c r="F23" t="s">
        <v>234</v>
      </c>
      <c r="G23" t="s">
        <v>234</v>
      </c>
      <c r="H23" t="s">
        <v>537</v>
      </c>
      <c r="J23">
        <v>10.300700000000001</v>
      </c>
    </row>
    <row r="24" spans="5:13" x14ac:dyDescent="0.2">
      <c r="E24" t="s">
        <v>544</v>
      </c>
      <c r="F24" t="s">
        <v>234</v>
      </c>
      <c r="G24" t="s">
        <v>234</v>
      </c>
      <c r="H24" t="s">
        <v>538</v>
      </c>
      <c r="J24">
        <v>0</v>
      </c>
    </row>
    <row r="25" spans="5:13" x14ac:dyDescent="0.2">
      <c r="E25" t="s">
        <v>544</v>
      </c>
      <c r="F25" t="s">
        <v>234</v>
      </c>
      <c r="G25" t="s">
        <v>234</v>
      </c>
      <c r="H25" t="s">
        <v>539</v>
      </c>
      <c r="J25">
        <v>0</v>
      </c>
    </row>
    <row r="26" spans="5:13" x14ac:dyDescent="0.2">
      <c r="E26" t="s">
        <v>544</v>
      </c>
      <c r="F26" t="s">
        <v>234</v>
      </c>
      <c r="G26" t="s">
        <v>234</v>
      </c>
      <c r="H26" t="s">
        <v>540</v>
      </c>
      <c r="J26">
        <v>0</v>
      </c>
    </row>
    <row r="27" spans="5:13" x14ac:dyDescent="0.2">
      <c r="E27" t="s">
        <v>544</v>
      </c>
      <c r="F27" t="s">
        <v>234</v>
      </c>
      <c r="G27" t="s">
        <v>234</v>
      </c>
      <c r="H27" t="s">
        <v>541</v>
      </c>
      <c r="J27">
        <v>2.7191000000000001</v>
      </c>
    </row>
    <row r="28" spans="5:13" x14ac:dyDescent="0.2">
      <c r="E28" t="s">
        <v>544</v>
      </c>
      <c r="F28" t="s">
        <v>234</v>
      </c>
      <c r="G28" t="s">
        <v>234</v>
      </c>
      <c r="H28" t="s">
        <v>542</v>
      </c>
      <c r="J28">
        <v>0</v>
      </c>
    </row>
    <row r="30" spans="5:13" x14ac:dyDescent="0.2">
      <c r="L30">
        <f>SUM(J9:J21)</f>
        <v>19.190300000000001</v>
      </c>
    </row>
    <row r="31" spans="5:13" x14ac:dyDescent="0.2">
      <c r="L31">
        <f>SUM(J22:J28)</f>
        <v>13.0198</v>
      </c>
      <c r="M31">
        <f>L31/L30</f>
        <v>0.67845734563816096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P110"/>
  <sheetViews>
    <sheetView topLeftCell="A7" zoomScaleNormal="100" workbookViewId="0">
      <selection activeCell="M16" sqref="M14:N16"/>
    </sheetView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8" t="s">
        <v>470</v>
      </c>
    </row>
    <row r="9" spans="2:14" x14ac:dyDescent="0.2">
      <c r="M9" s="92" t="s">
        <v>529</v>
      </c>
    </row>
    <row r="10" spans="2:14" x14ac:dyDescent="0.2">
      <c r="L10" s="92" t="s">
        <v>521</v>
      </c>
      <c r="M10">
        <v>28.349</v>
      </c>
    </row>
    <row r="11" spans="2:14" x14ac:dyDescent="0.2">
      <c r="L11" s="92" t="s">
        <v>522</v>
      </c>
      <c r="M11">
        <v>31.103999999999999</v>
      </c>
    </row>
    <row r="15" spans="2:14" x14ac:dyDescent="0.2">
      <c r="N15" s="92"/>
    </row>
    <row r="20" spans="5:16" ht="15" x14ac:dyDescent="0.2">
      <c r="E20" s="290"/>
      <c r="F20" s="291" t="s">
        <v>489</v>
      </c>
      <c r="G20" s="291" t="s">
        <v>490</v>
      </c>
    </row>
    <row r="21" spans="5:16" ht="15" x14ac:dyDescent="0.2">
      <c r="E21" s="292" t="s">
        <v>491</v>
      </c>
      <c r="F21" s="293" t="s">
        <v>492</v>
      </c>
      <c r="G21" s="293" t="s">
        <v>493</v>
      </c>
      <c r="N21" s="92" t="s">
        <v>520</v>
      </c>
    </row>
    <row r="22" spans="5:16" ht="15" x14ac:dyDescent="0.2">
      <c r="E22" s="292" t="s">
        <v>494</v>
      </c>
      <c r="F22" s="294" t="s">
        <v>495</v>
      </c>
      <c r="G22" s="294" t="s">
        <v>496</v>
      </c>
      <c r="J22" s="92" t="s">
        <v>514</v>
      </c>
      <c r="L22">
        <v>19.5</v>
      </c>
      <c r="M22" s="92" t="s">
        <v>515</v>
      </c>
      <c r="N22" s="154">
        <f>L22*1000000*$M$10/1000000</f>
        <v>552.80550000000005</v>
      </c>
      <c r="O22" s="92" t="s">
        <v>212</v>
      </c>
    </row>
    <row r="23" spans="5:16" ht="15" x14ac:dyDescent="0.2">
      <c r="E23" s="292" t="s">
        <v>497</v>
      </c>
      <c r="F23" s="295" t="s">
        <v>498</v>
      </c>
      <c r="G23" s="293" t="s">
        <v>499</v>
      </c>
      <c r="J23" s="92" t="s">
        <v>518</v>
      </c>
      <c r="L23">
        <v>420000</v>
      </c>
      <c r="M23" s="92" t="s">
        <v>519</v>
      </c>
      <c r="N23" s="154">
        <f>L23*$M$10/1000000</f>
        <v>11.90658</v>
      </c>
      <c r="O23" s="92" t="s">
        <v>534</v>
      </c>
    </row>
    <row r="24" spans="5:16" ht="15" x14ac:dyDescent="0.2">
      <c r="E24" s="292" t="s">
        <v>500</v>
      </c>
      <c r="F24" s="293" t="s">
        <v>501</v>
      </c>
      <c r="G24" s="293" t="s">
        <v>502</v>
      </c>
      <c r="J24" s="92" t="s">
        <v>516</v>
      </c>
      <c r="L24">
        <v>45</v>
      </c>
      <c r="M24" s="92" t="s">
        <v>517</v>
      </c>
    </row>
    <row r="25" spans="5:16" ht="15" x14ac:dyDescent="0.2">
      <c r="E25" s="292" t="s">
        <v>503</v>
      </c>
      <c r="F25" s="294" t="s">
        <v>504</v>
      </c>
      <c r="G25" s="294" t="s">
        <v>505</v>
      </c>
      <c r="J25" s="300" t="s">
        <v>478</v>
      </c>
      <c r="K25" s="301"/>
      <c r="L25" s="301">
        <f>L45</f>
        <v>1104</v>
      </c>
      <c r="M25" s="300" t="s">
        <v>527</v>
      </c>
      <c r="N25" s="308">
        <f>L25/N23</f>
        <v>92.721839520668411</v>
      </c>
      <c r="O25" s="300" t="s">
        <v>528</v>
      </c>
    </row>
    <row r="26" spans="5:16" ht="15" x14ac:dyDescent="0.2">
      <c r="E26" s="292" t="s">
        <v>506</v>
      </c>
      <c r="F26" s="293" t="s">
        <v>507</v>
      </c>
      <c r="G26" s="293" t="s">
        <v>508</v>
      </c>
      <c r="J26" s="300" t="s">
        <v>551</v>
      </c>
      <c r="K26" s="301"/>
      <c r="L26" s="301"/>
      <c r="M26" s="300"/>
      <c r="N26" s="308">
        <f>(L58/M10)</f>
        <v>17.178736463367315</v>
      </c>
      <c r="O26" s="300" t="s">
        <v>552</v>
      </c>
      <c r="P26" s="92"/>
    </row>
    <row r="27" spans="5:16" ht="30" x14ac:dyDescent="0.2">
      <c r="E27" s="292" t="s">
        <v>509</v>
      </c>
      <c r="F27" s="294" t="s">
        <v>510</v>
      </c>
      <c r="G27" s="294" t="s">
        <v>511</v>
      </c>
    </row>
    <row r="28" spans="5:16" ht="31.5" x14ac:dyDescent="0.2">
      <c r="E28" s="296" t="s">
        <v>512</v>
      </c>
      <c r="F28" s="297">
        <v>216.57</v>
      </c>
      <c r="G28" s="298" t="s">
        <v>513</v>
      </c>
      <c r="N28" s="302"/>
      <c r="O28" s="92"/>
    </row>
    <row r="29" spans="5:16" x14ac:dyDescent="0.2">
      <c r="O29" s="92"/>
    </row>
    <row r="35" spans="10:15" ht="15.75" x14ac:dyDescent="0.25">
      <c r="K35" s="289" t="s">
        <v>478</v>
      </c>
    </row>
    <row r="36" spans="10:15" x14ac:dyDescent="0.2">
      <c r="J36" s="92"/>
    </row>
    <row r="37" spans="10:15" x14ac:dyDescent="0.2">
      <c r="L37" s="92" t="s">
        <v>473</v>
      </c>
    </row>
    <row r="38" spans="10:15" x14ac:dyDescent="0.2">
      <c r="K38" s="92" t="s">
        <v>471</v>
      </c>
      <c r="L38" s="1">
        <v>406</v>
      </c>
    </row>
    <row r="39" spans="10:15" x14ac:dyDescent="0.2">
      <c r="K39" s="92" t="s">
        <v>472</v>
      </c>
      <c r="L39" s="1">
        <v>172</v>
      </c>
    </row>
    <row r="40" spans="10:15" x14ac:dyDescent="0.2">
      <c r="K40" s="92" t="s">
        <v>474</v>
      </c>
      <c r="L40" s="1">
        <f>SUM(M41:M43)</f>
        <v>143</v>
      </c>
    </row>
    <row r="41" spans="10:15" x14ac:dyDescent="0.2">
      <c r="M41">
        <v>45</v>
      </c>
      <c r="N41" s="304" t="s">
        <v>475</v>
      </c>
    </row>
    <row r="42" spans="10:15" x14ac:dyDescent="0.2">
      <c r="M42">
        <v>82</v>
      </c>
      <c r="N42" s="304" t="s">
        <v>476</v>
      </c>
    </row>
    <row r="43" spans="10:15" x14ac:dyDescent="0.2">
      <c r="M43">
        <v>16</v>
      </c>
      <c r="N43" s="304" t="s">
        <v>477</v>
      </c>
    </row>
    <row r="45" spans="10:15" x14ac:dyDescent="0.2">
      <c r="K45" s="299" t="s">
        <v>526</v>
      </c>
      <c r="L45" s="1">
        <v>1104</v>
      </c>
      <c r="N45" s="154"/>
      <c r="O45" s="92"/>
    </row>
    <row r="56" spans="11:14" ht="15.75" x14ac:dyDescent="0.25">
      <c r="K56" s="289" t="s">
        <v>479</v>
      </c>
    </row>
    <row r="57" spans="11:14" x14ac:dyDescent="0.2">
      <c r="L57" s="1" t="s">
        <v>488</v>
      </c>
    </row>
    <row r="58" spans="11:14" x14ac:dyDescent="0.2">
      <c r="K58" s="92" t="s">
        <v>480</v>
      </c>
      <c r="L58">
        <v>487</v>
      </c>
    </row>
    <row r="59" spans="11:14" x14ac:dyDescent="0.2">
      <c r="K59" s="92" t="s">
        <v>481</v>
      </c>
      <c r="L59">
        <v>302</v>
      </c>
      <c r="N59" s="92" t="s">
        <v>523</v>
      </c>
    </row>
    <row r="60" spans="11:14" x14ac:dyDescent="0.2">
      <c r="K60" s="92" t="s">
        <v>483</v>
      </c>
      <c r="L60">
        <v>88</v>
      </c>
    </row>
    <row r="61" spans="11:14" x14ac:dyDescent="0.2">
      <c r="K61" s="92" t="s">
        <v>482</v>
      </c>
      <c r="L61">
        <v>-236</v>
      </c>
    </row>
    <row r="63" spans="11:14" x14ac:dyDescent="0.2">
      <c r="K63" s="92" t="s">
        <v>484</v>
      </c>
      <c r="L63">
        <v>94</v>
      </c>
    </row>
    <row r="64" spans="11:14" x14ac:dyDescent="0.2">
      <c r="K64" s="92" t="s">
        <v>485</v>
      </c>
      <c r="L64">
        <v>34</v>
      </c>
    </row>
    <row r="66" spans="11:13" x14ac:dyDescent="0.2">
      <c r="K66" s="1" t="s">
        <v>486</v>
      </c>
      <c r="L66" s="1">
        <f>SUM(L58:L64)</f>
        <v>769</v>
      </c>
      <c r="M66" s="92" t="s">
        <v>530</v>
      </c>
    </row>
    <row r="67" spans="11:13" x14ac:dyDescent="0.2">
      <c r="K67" s="92" t="s">
        <v>487</v>
      </c>
      <c r="L67">
        <f>L66-L59</f>
        <v>467</v>
      </c>
    </row>
    <row r="82" spans="2:15" x14ac:dyDescent="0.2">
      <c r="B82" s="92"/>
      <c r="C82" s="92" t="s">
        <v>229</v>
      </c>
    </row>
    <row r="83" spans="2:15" x14ac:dyDescent="0.2">
      <c r="B83" s="92"/>
      <c r="C83" s="92" t="s">
        <v>327</v>
      </c>
    </row>
    <row r="84" spans="2:15" x14ac:dyDescent="0.2">
      <c r="C84" s="92" t="s">
        <v>231</v>
      </c>
    </row>
    <row r="85" spans="2:15" x14ac:dyDescent="0.2">
      <c r="C85" s="92" t="s">
        <v>232</v>
      </c>
    </row>
    <row r="92" spans="2:15" x14ac:dyDescent="0.2">
      <c r="N92" s="92" t="s">
        <v>525</v>
      </c>
      <c r="O92" s="92" t="s">
        <v>524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550</v>
      </c>
      <c r="O103" s="92" t="s">
        <v>524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workbookViewId="0">
      <selection activeCell="E19" sqref="E19"/>
    </sheetView>
  </sheetViews>
  <sheetFormatPr defaultColWidth="8.85546875" defaultRowHeight="15" x14ac:dyDescent="0.25"/>
  <cols>
    <col min="1" max="1" width="8.85546875" style="156"/>
    <col min="2" max="2" width="15.85546875" style="156" customWidth="1"/>
    <col min="3" max="3" width="11.5703125" style="156" bestFit="1" customWidth="1"/>
    <col min="4" max="4" width="8.85546875" style="156"/>
    <col min="5" max="6" width="14.28515625" style="156" bestFit="1" customWidth="1"/>
    <col min="7" max="7" width="8.85546875" style="156"/>
    <col min="8" max="8" width="18.5703125" style="156" customWidth="1"/>
    <col min="9" max="14" width="8.85546875" style="156"/>
    <col min="15" max="15" width="10.5703125" style="156" bestFit="1" customWidth="1"/>
    <col min="16" max="23" width="8.85546875" style="156"/>
    <col min="24" max="24" width="11.5703125" style="156" bestFit="1" customWidth="1"/>
    <col min="25" max="16384" width="8.85546875" style="156"/>
  </cols>
  <sheetData>
    <row r="3" spans="2:33" x14ac:dyDescent="0.25">
      <c r="B3" s="156" t="s">
        <v>348</v>
      </c>
    </row>
    <row r="4" spans="2:33" x14ac:dyDescent="0.25">
      <c r="H4" s="156" t="s">
        <v>349</v>
      </c>
      <c r="S4" s="155" t="s">
        <v>350</v>
      </c>
      <c r="T4" s="156" t="s">
        <v>351</v>
      </c>
      <c r="U4" s="156" t="s">
        <v>352</v>
      </c>
    </row>
    <row r="5" spans="2:33" x14ac:dyDescent="0.25">
      <c r="B5" s="156" t="s">
        <v>353</v>
      </c>
      <c r="C5" s="156" t="s">
        <v>354</v>
      </c>
      <c r="E5" s="156" t="s">
        <v>355</v>
      </c>
      <c r="H5" s="184"/>
      <c r="I5" s="233" t="s">
        <v>356</v>
      </c>
      <c r="J5" s="233" t="s">
        <v>322</v>
      </c>
      <c r="K5" s="159"/>
      <c r="S5" s="156" t="s">
        <v>179</v>
      </c>
      <c r="T5" s="234">
        <f>((U5/100)/3.6)*1000</f>
        <v>233.61805555555554</v>
      </c>
      <c r="U5" s="156">
        <f>X23*3/12+AD23*9/12</f>
        <v>84.102499999999992</v>
      </c>
    </row>
    <row r="6" spans="2:33" x14ac:dyDescent="0.25">
      <c r="B6" s="156" t="s">
        <v>179</v>
      </c>
      <c r="C6" s="235"/>
      <c r="E6" s="234">
        <f>T5</f>
        <v>233.61805555555554</v>
      </c>
      <c r="F6" s="236"/>
      <c r="H6" s="179" t="s">
        <v>357</v>
      </c>
      <c r="I6" s="156" t="s">
        <v>358</v>
      </c>
      <c r="J6" s="156" t="s">
        <v>359</v>
      </c>
      <c r="K6" s="163" t="s">
        <v>360</v>
      </c>
      <c r="O6" s="156" t="s">
        <v>361</v>
      </c>
      <c r="S6" s="156" t="s">
        <v>181</v>
      </c>
      <c r="T6" s="234">
        <f>W8*1000/100</f>
        <v>380.52631578947364</v>
      </c>
      <c r="W6" s="156">
        <v>1446</v>
      </c>
      <c r="X6" s="156" t="s">
        <v>362</v>
      </c>
      <c r="Y6" s="156" t="s">
        <v>363</v>
      </c>
    </row>
    <row r="7" spans="2:33" x14ac:dyDescent="0.25">
      <c r="B7" s="156" t="s">
        <v>181</v>
      </c>
      <c r="C7" s="235"/>
      <c r="E7" s="234">
        <f>T6</f>
        <v>380.52631578947364</v>
      </c>
      <c r="F7" s="236"/>
      <c r="H7" s="237">
        <v>44339</v>
      </c>
      <c r="I7" s="156">
        <v>39129.07</v>
      </c>
      <c r="J7" s="156">
        <v>37398.39</v>
      </c>
      <c r="K7" s="163">
        <v>38224.99</v>
      </c>
      <c r="L7" s="156">
        <f>YEAR(H7)</f>
        <v>2021</v>
      </c>
      <c r="N7" s="156">
        <v>2016</v>
      </c>
      <c r="O7" s="235">
        <f>AVERAGEIFS($K$7:$K$186,$L$7:$L$186,N7)</f>
        <v>32757.693157894741</v>
      </c>
      <c r="S7" s="156" t="s">
        <v>143</v>
      </c>
      <c r="T7" s="234">
        <f>W10/W11</f>
        <v>22.192307692307693</v>
      </c>
      <c r="W7" s="156">
        <v>38</v>
      </c>
      <c r="X7" s="156" t="s">
        <v>364</v>
      </c>
    </row>
    <row r="8" spans="2:33" x14ac:dyDescent="0.25">
      <c r="B8" s="156" t="s">
        <v>143</v>
      </c>
      <c r="C8" s="235"/>
      <c r="E8" s="234">
        <f>T7</f>
        <v>22.192307692307693</v>
      </c>
      <c r="F8" s="236"/>
      <c r="H8" s="237">
        <v>44329</v>
      </c>
      <c r="I8" s="156">
        <v>40254.18</v>
      </c>
      <c r="J8" s="156">
        <v>37557.699999999997</v>
      </c>
      <c r="K8" s="163">
        <v>37679.870000000003</v>
      </c>
      <c r="L8" s="156">
        <f t="shared" ref="L8:L71" si="0">YEAR(H8)</f>
        <v>2021</v>
      </c>
      <c r="N8" s="156">
        <v>2017</v>
      </c>
      <c r="O8" s="235">
        <f>AVERAGEIFS($K$7:$K$186,$L$7:$L$186,N8)</f>
        <v>30609.431081081093</v>
      </c>
      <c r="S8" s="156" t="s">
        <v>180</v>
      </c>
      <c r="T8" s="234"/>
      <c r="W8" s="156">
        <f>W6/W7</f>
        <v>38.05263157894737</v>
      </c>
      <c r="X8" s="156" t="s">
        <v>365</v>
      </c>
    </row>
    <row r="9" spans="2:33" x14ac:dyDescent="0.25">
      <c r="B9" s="156" t="s">
        <v>180</v>
      </c>
      <c r="C9" s="235"/>
      <c r="E9" s="234">
        <f>T8</f>
        <v>0</v>
      </c>
      <c r="F9" s="236"/>
      <c r="H9" s="237">
        <v>44319</v>
      </c>
      <c r="I9" s="156">
        <v>41169.51</v>
      </c>
      <c r="J9" s="156">
        <v>38421.75</v>
      </c>
      <c r="K9" s="163">
        <v>39164.43</v>
      </c>
      <c r="L9" s="156">
        <f t="shared" si="0"/>
        <v>2021</v>
      </c>
      <c r="N9" s="156">
        <v>2018</v>
      </c>
      <c r="O9" s="235">
        <f>AVERAGEIFS($K$7:$K$186,$L$7:$L$186,N9)</f>
        <v>28111.978888888887</v>
      </c>
    </row>
    <row r="10" spans="2:33" x14ac:dyDescent="0.25">
      <c r="F10" s="236"/>
      <c r="H10" s="237">
        <v>44309</v>
      </c>
      <c r="I10" s="156">
        <v>40485.67</v>
      </c>
      <c r="J10" s="156">
        <v>37871.01</v>
      </c>
      <c r="K10" s="163">
        <v>38694.230000000003</v>
      </c>
      <c r="L10" s="156">
        <f t="shared" si="0"/>
        <v>2021</v>
      </c>
      <c r="N10" s="156">
        <v>2019</v>
      </c>
      <c r="O10" s="235">
        <f>AVERAGEIFS($K$7:$K$186,$L$7:$L$186,N10)</f>
        <v>27902.301351351351</v>
      </c>
      <c r="Q10" s="156">
        <v>16</v>
      </c>
      <c r="W10" s="156">
        <v>577</v>
      </c>
      <c r="X10" s="156" t="s">
        <v>366</v>
      </c>
      <c r="Y10" s="156" t="s">
        <v>367</v>
      </c>
    </row>
    <row r="11" spans="2:33" x14ac:dyDescent="0.25">
      <c r="B11" s="156" t="s">
        <v>368</v>
      </c>
      <c r="E11" s="235">
        <f>SUMPRODUCT(E6:E9,C6:C9)</f>
        <v>0</v>
      </c>
      <c r="H11" s="237">
        <v>44299</v>
      </c>
      <c r="I11" s="156">
        <v>39606.83</v>
      </c>
      <c r="J11" s="156">
        <v>37173.339999999997</v>
      </c>
      <c r="K11" s="163">
        <v>38818.01</v>
      </c>
      <c r="L11" s="156">
        <f t="shared" si="0"/>
        <v>2021</v>
      </c>
      <c r="N11" s="156">
        <v>2020</v>
      </c>
      <c r="O11" s="235">
        <f>AVERAGEIFS($K$7:$K$186,$L$7:$L$186,N11)</f>
        <v>28529.826944444452</v>
      </c>
      <c r="W11" s="156">
        <v>26</v>
      </c>
      <c r="X11" s="156" t="s">
        <v>354</v>
      </c>
    </row>
    <row r="12" spans="2:33" x14ac:dyDescent="0.25">
      <c r="B12" s="156" t="s">
        <v>369</v>
      </c>
      <c r="E12" s="235">
        <f>E11/1000</f>
        <v>0</v>
      </c>
      <c r="F12" s="156" t="s">
        <v>370</v>
      </c>
      <c r="H12" s="237">
        <v>44289</v>
      </c>
      <c r="I12" s="156">
        <v>40120.76</v>
      </c>
      <c r="J12" s="156">
        <v>37582.94</v>
      </c>
      <c r="K12" s="163">
        <v>37638.879999999997</v>
      </c>
      <c r="L12" s="156">
        <f t="shared" si="0"/>
        <v>2021</v>
      </c>
    </row>
    <row r="13" spans="2:33" x14ac:dyDescent="0.25">
      <c r="H13" s="237">
        <v>44279</v>
      </c>
      <c r="I13" s="156">
        <v>39065.410000000003</v>
      </c>
      <c r="J13" s="156">
        <v>36808.75</v>
      </c>
      <c r="K13" s="163">
        <v>39008.019999999997</v>
      </c>
      <c r="L13" s="156">
        <f t="shared" si="0"/>
        <v>2021</v>
      </c>
    </row>
    <row r="14" spans="2:33" x14ac:dyDescent="0.25">
      <c r="E14" s="235"/>
      <c r="H14" s="237">
        <v>44269</v>
      </c>
      <c r="I14" s="156">
        <v>39825.93</v>
      </c>
      <c r="J14" s="156">
        <v>37410.769999999997</v>
      </c>
      <c r="K14" s="163">
        <v>37520.730000000003</v>
      </c>
      <c r="L14" s="156">
        <f t="shared" si="0"/>
        <v>2021</v>
      </c>
      <c r="T14" s="156" t="s">
        <v>371</v>
      </c>
    </row>
    <row r="15" spans="2:33" x14ac:dyDescent="0.25">
      <c r="B15" s="156" t="s">
        <v>372</v>
      </c>
      <c r="E15" s="238">
        <f>X35</f>
        <v>413490.66572736879</v>
      </c>
      <c r="H15" s="237">
        <v>44259</v>
      </c>
      <c r="I15" s="156">
        <v>39532.239999999998</v>
      </c>
      <c r="J15" s="156">
        <v>35722.21</v>
      </c>
      <c r="K15" s="163">
        <v>38830.22</v>
      </c>
      <c r="L15" s="156">
        <f t="shared" si="0"/>
        <v>2021</v>
      </c>
    </row>
    <row r="16" spans="2:33" x14ac:dyDescent="0.25">
      <c r="B16" s="239" t="s">
        <v>373</v>
      </c>
      <c r="C16" s="239"/>
      <c r="D16" s="239"/>
      <c r="E16" s="240">
        <f>E15-E12</f>
        <v>413490.66572736879</v>
      </c>
      <c r="H16" s="237">
        <v>44249</v>
      </c>
      <c r="I16" s="156">
        <v>41905.769999999997</v>
      </c>
      <c r="J16" s="156">
        <v>37275.25</v>
      </c>
      <c r="K16" s="163">
        <v>37419.769999999997</v>
      </c>
      <c r="L16" s="156">
        <f t="shared" si="0"/>
        <v>2021</v>
      </c>
      <c r="U16" s="156" t="s">
        <v>374</v>
      </c>
      <c r="AG16" s="156" t="s">
        <v>375</v>
      </c>
    </row>
    <row r="17" spans="8:34" x14ac:dyDescent="0.25">
      <c r="H17" s="237">
        <v>44239</v>
      </c>
      <c r="I17" s="156">
        <v>43085.22</v>
      </c>
      <c r="J17" s="156">
        <v>38966.870000000003</v>
      </c>
      <c r="K17" s="163">
        <v>41445.53</v>
      </c>
      <c r="L17" s="156">
        <f t="shared" si="0"/>
        <v>2021</v>
      </c>
      <c r="U17" s="156" t="s">
        <v>376</v>
      </c>
      <c r="AA17" s="156" t="s">
        <v>377</v>
      </c>
    </row>
    <row r="18" spans="8:34" x14ac:dyDescent="0.25">
      <c r="H18" s="237">
        <v>44229</v>
      </c>
      <c r="I18" s="156">
        <v>40949.599999999999</v>
      </c>
      <c r="J18" s="156">
        <v>34683.1</v>
      </c>
      <c r="K18" s="163">
        <v>39714.21</v>
      </c>
      <c r="L18" s="156">
        <f t="shared" si="0"/>
        <v>2021</v>
      </c>
      <c r="T18" s="156" t="s">
        <v>378</v>
      </c>
      <c r="U18" s="156" t="s">
        <v>379</v>
      </c>
      <c r="W18" s="156" t="s">
        <v>380</v>
      </c>
      <c r="Y18" s="156" t="s">
        <v>381</v>
      </c>
      <c r="AA18" s="156" t="s">
        <v>379</v>
      </c>
      <c r="AC18" s="156" t="s">
        <v>380</v>
      </c>
      <c r="AE18" s="156" t="s">
        <v>381</v>
      </c>
    </row>
    <row r="19" spans="8:34" x14ac:dyDescent="0.25">
      <c r="H19" s="237">
        <v>44219</v>
      </c>
      <c r="I19" s="156">
        <v>36477.75</v>
      </c>
      <c r="J19" s="156">
        <v>33844.769999999997</v>
      </c>
      <c r="K19" s="163">
        <v>36156.730000000003</v>
      </c>
      <c r="L19" s="156">
        <f t="shared" si="0"/>
        <v>2021</v>
      </c>
      <c r="V19" s="156" t="s">
        <v>382</v>
      </c>
      <c r="X19" s="156" t="s">
        <v>382</v>
      </c>
      <c r="Z19" s="156" t="s">
        <v>382</v>
      </c>
      <c r="AB19" s="156" t="s">
        <v>382</v>
      </c>
      <c r="AD19" s="156" t="s">
        <v>382</v>
      </c>
      <c r="AF19" s="156" t="s">
        <v>382</v>
      </c>
      <c r="AH19" s="156" t="s">
        <v>382</v>
      </c>
    </row>
    <row r="20" spans="8:34" x14ac:dyDescent="0.25">
      <c r="H20" s="237">
        <v>44209</v>
      </c>
      <c r="I20" s="156">
        <v>37172.370000000003</v>
      </c>
      <c r="J20" s="156">
        <v>34213.379999999997</v>
      </c>
      <c r="K20" s="163">
        <v>35481.89</v>
      </c>
      <c r="L20" s="156">
        <f t="shared" si="0"/>
        <v>2021</v>
      </c>
      <c r="S20" s="156" t="s">
        <v>383</v>
      </c>
      <c r="T20" s="156" t="s">
        <v>384</v>
      </c>
      <c r="U20" s="156">
        <v>333.51</v>
      </c>
      <c r="V20" s="156">
        <v>383.54</v>
      </c>
      <c r="W20" s="156">
        <v>101.47</v>
      </c>
      <c r="X20" s="156">
        <v>116.69</v>
      </c>
      <c r="Y20" s="156">
        <v>55.41</v>
      </c>
      <c r="Z20" s="156">
        <v>63.72</v>
      </c>
      <c r="AA20" s="156">
        <v>109.21</v>
      </c>
      <c r="AB20" s="156">
        <v>125.59</v>
      </c>
      <c r="AC20" s="156">
        <v>75.36</v>
      </c>
      <c r="AD20" s="156">
        <v>86.66</v>
      </c>
      <c r="AE20" s="156">
        <v>48.04</v>
      </c>
      <c r="AF20" s="156">
        <v>55.25</v>
      </c>
      <c r="AG20" s="241">
        <v>9.5399999999999991</v>
      </c>
      <c r="AH20" s="241">
        <v>10.97</v>
      </c>
    </row>
    <row r="21" spans="8:34" x14ac:dyDescent="0.25">
      <c r="H21" s="237">
        <v>44199</v>
      </c>
      <c r="I21" s="156">
        <v>36413.29</v>
      </c>
      <c r="J21" s="156">
        <v>32477.08</v>
      </c>
      <c r="K21" s="163">
        <v>34673.78</v>
      </c>
      <c r="L21" s="156">
        <f t="shared" si="0"/>
        <v>2021</v>
      </c>
      <c r="T21" s="156" t="s">
        <v>385</v>
      </c>
      <c r="U21" s="156">
        <v>328.28</v>
      </c>
      <c r="V21" s="156">
        <v>377.52</v>
      </c>
      <c r="W21" s="156">
        <v>99.45</v>
      </c>
      <c r="X21" s="156">
        <v>114.37</v>
      </c>
      <c r="Y21" s="156">
        <v>54.01</v>
      </c>
      <c r="Z21" s="156">
        <v>62.11</v>
      </c>
      <c r="AA21" s="156">
        <v>107.07</v>
      </c>
      <c r="AB21" s="156">
        <v>123.13</v>
      </c>
      <c r="AC21" s="156">
        <v>73.709999999999994</v>
      </c>
      <c r="AD21" s="156">
        <v>84.77</v>
      </c>
      <c r="AE21" s="156">
        <v>46.76</v>
      </c>
      <c r="AF21" s="156">
        <v>53.77</v>
      </c>
      <c r="AG21" s="241">
        <v>8.7200000000000006</v>
      </c>
      <c r="AH21" s="241">
        <v>10.029999999999999</v>
      </c>
    </row>
    <row r="22" spans="8:34" x14ac:dyDescent="0.25">
      <c r="H22" s="237">
        <v>44189</v>
      </c>
      <c r="I22" s="156">
        <v>34863.949999999997</v>
      </c>
      <c r="J22" s="156">
        <v>32711.78</v>
      </c>
      <c r="K22" s="163">
        <v>34387.800000000003</v>
      </c>
      <c r="L22" s="156">
        <f t="shared" si="0"/>
        <v>2020</v>
      </c>
      <c r="T22" s="156" t="s">
        <v>386</v>
      </c>
      <c r="U22" s="156">
        <v>317.88</v>
      </c>
      <c r="V22" s="156">
        <v>365.56</v>
      </c>
      <c r="W22" s="156">
        <v>96.29</v>
      </c>
      <c r="X22" s="156">
        <v>110.73</v>
      </c>
      <c r="Y22" s="156">
        <v>52.3</v>
      </c>
      <c r="Z22" s="156">
        <v>60.15</v>
      </c>
      <c r="AA22" s="156">
        <v>103.71</v>
      </c>
      <c r="AB22" s="156">
        <v>119.27</v>
      </c>
      <c r="AC22" s="156">
        <v>71.36</v>
      </c>
      <c r="AD22" s="156">
        <v>82.06</v>
      </c>
      <c r="AE22" s="156">
        <v>45.29</v>
      </c>
      <c r="AF22" s="156">
        <v>52.08</v>
      </c>
      <c r="AG22" s="241">
        <v>8.49</v>
      </c>
      <c r="AH22" s="241">
        <v>9.76</v>
      </c>
    </row>
    <row r="23" spans="8:34" x14ac:dyDescent="0.25">
      <c r="H23" s="237">
        <v>44179</v>
      </c>
      <c r="I23" s="156">
        <v>34086.699999999997</v>
      </c>
      <c r="J23" s="156">
        <v>30092.62</v>
      </c>
      <c r="K23" s="163">
        <v>32729.46</v>
      </c>
      <c r="L23" s="156">
        <f t="shared" si="0"/>
        <v>2020</v>
      </c>
      <c r="T23" s="156" t="s">
        <v>387</v>
      </c>
      <c r="U23" s="156">
        <v>299.60000000000002</v>
      </c>
      <c r="V23" s="156">
        <v>344.54</v>
      </c>
      <c r="W23" s="156">
        <v>90.75</v>
      </c>
      <c r="X23" s="156">
        <v>104.36</v>
      </c>
      <c r="Y23" s="156">
        <v>49.29</v>
      </c>
      <c r="Z23" s="156">
        <v>56.68</v>
      </c>
      <c r="AA23" s="156">
        <v>97.76</v>
      </c>
      <c r="AB23" s="156">
        <v>112.42</v>
      </c>
      <c r="AC23" s="156">
        <v>67.260000000000005</v>
      </c>
      <c r="AD23" s="156">
        <v>77.349999999999994</v>
      </c>
      <c r="AE23" s="156">
        <v>42.68</v>
      </c>
      <c r="AF23" s="156">
        <v>49.08</v>
      </c>
      <c r="AG23" s="241">
        <v>10.73</v>
      </c>
      <c r="AH23" s="241">
        <v>12.34</v>
      </c>
    </row>
    <row r="24" spans="8:34" x14ac:dyDescent="0.25">
      <c r="H24" s="237">
        <v>44169</v>
      </c>
      <c r="I24" s="156">
        <v>34785.980000000003</v>
      </c>
      <c r="J24" s="156">
        <v>31973.599999999999</v>
      </c>
      <c r="K24" s="163">
        <v>32793.760000000002</v>
      </c>
      <c r="L24" s="156">
        <f t="shared" si="0"/>
        <v>2020</v>
      </c>
      <c r="S24" s="156" t="s">
        <v>388</v>
      </c>
      <c r="T24" s="156" t="s">
        <v>384</v>
      </c>
      <c r="U24" s="156">
        <v>336.24</v>
      </c>
      <c r="V24" s="156">
        <v>386.68</v>
      </c>
      <c r="W24" s="156">
        <v>101.88</v>
      </c>
      <c r="X24" s="156">
        <v>117.16</v>
      </c>
      <c r="Y24" s="156">
        <v>55.31</v>
      </c>
      <c r="Z24" s="156">
        <v>63.61</v>
      </c>
      <c r="AA24" s="156">
        <v>109.69</v>
      </c>
      <c r="AB24" s="156">
        <v>126.14</v>
      </c>
      <c r="AC24" s="156">
        <v>75.52</v>
      </c>
      <c r="AD24" s="156">
        <v>86.85</v>
      </c>
      <c r="AE24" s="156">
        <v>47.91</v>
      </c>
      <c r="AF24" s="156">
        <v>55.1</v>
      </c>
      <c r="AG24" s="241">
        <v>9.61</v>
      </c>
      <c r="AH24" s="241">
        <v>11.05</v>
      </c>
    </row>
    <row r="25" spans="8:34" x14ac:dyDescent="0.25">
      <c r="H25" s="237">
        <v>44159</v>
      </c>
      <c r="I25" s="156">
        <v>33359.61</v>
      </c>
      <c r="J25" s="156">
        <v>29740.73</v>
      </c>
      <c r="K25" s="163">
        <v>33094.53</v>
      </c>
      <c r="L25" s="156">
        <f t="shared" si="0"/>
        <v>2020</v>
      </c>
      <c r="T25" s="156" t="s">
        <v>385</v>
      </c>
      <c r="U25" s="156">
        <v>331.56</v>
      </c>
      <c r="V25" s="156">
        <v>381.29</v>
      </c>
      <c r="W25" s="156">
        <v>100.43</v>
      </c>
      <c r="X25" s="156">
        <v>115.49</v>
      </c>
      <c r="Y25" s="156">
        <v>54.54</v>
      </c>
      <c r="Z25" s="156">
        <v>62.72</v>
      </c>
      <c r="AA25" s="156">
        <v>108.17</v>
      </c>
      <c r="AB25" s="156">
        <v>124.4</v>
      </c>
      <c r="AC25" s="156">
        <v>74.44</v>
      </c>
      <c r="AD25" s="156">
        <v>85.61</v>
      </c>
      <c r="AE25" s="156">
        <v>47.22</v>
      </c>
      <c r="AF25" s="156">
        <v>54.3</v>
      </c>
      <c r="AG25" s="241">
        <v>8.8000000000000007</v>
      </c>
      <c r="AH25" s="241">
        <v>10.119999999999999</v>
      </c>
    </row>
    <row r="26" spans="8:34" x14ac:dyDescent="0.25">
      <c r="H26" s="237">
        <v>44149</v>
      </c>
      <c r="I26" s="156">
        <v>31019.68</v>
      </c>
      <c r="J26" s="156">
        <v>28608.06</v>
      </c>
      <c r="K26" s="163">
        <v>30007.9</v>
      </c>
      <c r="L26" s="156">
        <f t="shared" si="0"/>
        <v>2020</v>
      </c>
      <c r="T26" s="156" t="s">
        <v>386</v>
      </c>
      <c r="U26" s="156">
        <v>321.01</v>
      </c>
      <c r="V26" s="156">
        <v>369.16</v>
      </c>
      <c r="W26" s="156">
        <v>97.23</v>
      </c>
      <c r="X26" s="156">
        <v>111.81</v>
      </c>
      <c r="Y26" s="156">
        <v>52.79</v>
      </c>
      <c r="Z26" s="156">
        <v>60.71</v>
      </c>
      <c r="AA26" s="156">
        <v>104.71</v>
      </c>
      <c r="AB26" s="156">
        <v>120.42</v>
      </c>
      <c r="AC26" s="156">
        <v>72.069999999999993</v>
      </c>
      <c r="AD26" s="156">
        <v>82.88</v>
      </c>
      <c r="AE26" s="156">
        <v>45.72</v>
      </c>
      <c r="AF26" s="156">
        <v>52.58</v>
      </c>
      <c r="AG26" s="241">
        <v>8.5500000000000007</v>
      </c>
      <c r="AH26" s="241">
        <v>9.83</v>
      </c>
    </row>
    <row r="27" spans="8:34" x14ac:dyDescent="0.25">
      <c r="H27" s="237">
        <v>44139</v>
      </c>
      <c r="I27" s="156">
        <v>29421.15</v>
      </c>
      <c r="J27" s="156">
        <v>27331.03</v>
      </c>
      <c r="K27" s="163">
        <v>28755.31</v>
      </c>
      <c r="L27" s="156">
        <f t="shared" si="0"/>
        <v>2020</v>
      </c>
      <c r="T27" s="156" t="s">
        <v>387</v>
      </c>
      <c r="U27" s="156">
        <v>302.60000000000002</v>
      </c>
      <c r="V27" s="156">
        <v>347.99</v>
      </c>
      <c r="W27" s="156">
        <v>91.68</v>
      </c>
      <c r="X27" s="156">
        <v>105.43</v>
      </c>
      <c r="Y27" s="156">
        <v>49.75</v>
      </c>
      <c r="Z27" s="156">
        <v>57.21</v>
      </c>
      <c r="AA27" s="156">
        <v>98.69</v>
      </c>
      <c r="AB27" s="156">
        <v>113.49</v>
      </c>
      <c r="AC27" s="156">
        <v>67.92</v>
      </c>
      <c r="AD27" s="156">
        <v>78.11</v>
      </c>
      <c r="AE27" s="156">
        <v>43.08</v>
      </c>
      <c r="AF27" s="156">
        <v>49.54</v>
      </c>
      <c r="AG27" s="241">
        <v>10.83</v>
      </c>
      <c r="AH27" s="241">
        <v>12.45</v>
      </c>
    </row>
    <row r="28" spans="8:34" x14ac:dyDescent="0.25">
      <c r="H28" s="237">
        <v>44129</v>
      </c>
      <c r="I28" s="156">
        <v>29331.13</v>
      </c>
      <c r="J28" s="156">
        <v>27037.97</v>
      </c>
      <c r="K28" s="163">
        <v>28240.57</v>
      </c>
      <c r="L28" s="156">
        <f t="shared" si="0"/>
        <v>2020</v>
      </c>
    </row>
    <row r="29" spans="8:34" x14ac:dyDescent="0.25">
      <c r="H29" s="237">
        <v>44119</v>
      </c>
      <c r="I29" s="156">
        <v>29592.03</v>
      </c>
      <c r="J29" s="156">
        <v>27108.22</v>
      </c>
      <c r="K29" s="163">
        <v>29214.58</v>
      </c>
      <c r="L29" s="156">
        <f t="shared" si="0"/>
        <v>2020</v>
      </c>
    </row>
    <row r="30" spans="8:34" x14ac:dyDescent="0.25">
      <c r="H30" s="237">
        <v>44109</v>
      </c>
      <c r="I30" s="156">
        <v>29074.720000000001</v>
      </c>
      <c r="J30" s="156">
        <v>27378.77</v>
      </c>
      <c r="K30" s="163">
        <v>27661.7</v>
      </c>
      <c r="L30" s="156">
        <f t="shared" si="0"/>
        <v>2020</v>
      </c>
      <c r="Q30" s="156" t="s">
        <v>389</v>
      </c>
    </row>
    <row r="31" spans="8:34" x14ac:dyDescent="0.25">
      <c r="H31" s="237">
        <v>44099</v>
      </c>
      <c r="I31" s="156">
        <v>29325.82</v>
      </c>
      <c r="J31" s="156">
        <v>26865.65</v>
      </c>
      <c r="K31" s="163">
        <v>28490.38</v>
      </c>
      <c r="L31" s="156">
        <f t="shared" si="0"/>
        <v>2020</v>
      </c>
    </row>
    <row r="32" spans="8:34" x14ac:dyDescent="0.25">
      <c r="H32" s="237">
        <v>44089</v>
      </c>
      <c r="I32" s="156">
        <v>31614.79</v>
      </c>
      <c r="J32" s="156">
        <v>26634.48</v>
      </c>
      <c r="K32" s="163">
        <v>27375.88</v>
      </c>
      <c r="L32" s="156">
        <f t="shared" si="0"/>
        <v>2020</v>
      </c>
    </row>
    <row r="33" spans="8:25" x14ac:dyDescent="0.25">
      <c r="H33" s="237">
        <v>44079</v>
      </c>
      <c r="I33" s="156">
        <v>30911.93</v>
      </c>
      <c r="J33" s="156">
        <v>28681.200000000001</v>
      </c>
      <c r="K33" s="163">
        <v>30873.56</v>
      </c>
      <c r="L33" s="156">
        <f t="shared" si="0"/>
        <v>2020</v>
      </c>
    </row>
    <row r="34" spans="8:25" x14ac:dyDescent="0.25">
      <c r="H34" s="237">
        <v>44069</v>
      </c>
      <c r="I34" s="156">
        <v>30957.95</v>
      </c>
      <c r="J34" s="156">
        <v>28469.49</v>
      </c>
      <c r="K34" s="163">
        <v>29163.94</v>
      </c>
      <c r="L34" s="156">
        <f t="shared" si="0"/>
        <v>2020</v>
      </c>
      <c r="X34" s="156">
        <v>11739</v>
      </c>
      <c r="Y34" s="156" t="s">
        <v>390</v>
      </c>
    </row>
    <row r="35" spans="8:25" x14ac:dyDescent="0.25">
      <c r="H35" s="237">
        <v>44059</v>
      </c>
      <c r="I35" s="156">
        <v>31393.599999999999</v>
      </c>
      <c r="J35" s="156">
        <v>28834.560000000001</v>
      </c>
      <c r="K35" s="163">
        <v>29995.52</v>
      </c>
      <c r="L35" s="156">
        <f t="shared" si="0"/>
        <v>2020</v>
      </c>
      <c r="X35" s="235">
        <f>(X34/28.39)*1000</f>
        <v>413490.66572736879</v>
      </c>
      <c r="Y35" s="156" t="s">
        <v>391</v>
      </c>
    </row>
    <row r="36" spans="8:25" x14ac:dyDescent="0.25">
      <c r="H36" s="237">
        <v>44049</v>
      </c>
      <c r="I36" s="156">
        <v>32486.880000000001</v>
      </c>
      <c r="J36" s="156">
        <v>29500.560000000001</v>
      </c>
      <c r="K36" s="163">
        <v>30427.31</v>
      </c>
      <c r="L36" s="156">
        <f t="shared" si="0"/>
        <v>2020</v>
      </c>
    </row>
    <row r="37" spans="8:25" x14ac:dyDescent="0.25">
      <c r="H37" s="237">
        <v>44039</v>
      </c>
      <c r="I37" s="156">
        <v>31659.64</v>
      </c>
      <c r="J37" s="156">
        <v>28360.5</v>
      </c>
      <c r="K37" s="163">
        <v>31120.959999999999</v>
      </c>
      <c r="L37" s="156">
        <f t="shared" si="0"/>
        <v>2020</v>
      </c>
    </row>
    <row r="38" spans="8:25" x14ac:dyDescent="0.25">
      <c r="H38" s="237">
        <v>44029</v>
      </c>
      <c r="I38" s="156">
        <v>30030.57</v>
      </c>
      <c r="J38" s="156">
        <v>26438.68</v>
      </c>
      <c r="K38" s="163">
        <v>29950.19</v>
      </c>
      <c r="L38" s="156">
        <f t="shared" si="0"/>
        <v>2020</v>
      </c>
    </row>
    <row r="39" spans="8:25" x14ac:dyDescent="0.25">
      <c r="H39" s="237">
        <v>44019</v>
      </c>
      <c r="I39" s="156">
        <v>27722.95</v>
      </c>
      <c r="J39" s="156">
        <v>26238.87</v>
      </c>
      <c r="K39" s="163">
        <v>26499.93</v>
      </c>
      <c r="L39" s="156">
        <f t="shared" si="0"/>
        <v>2020</v>
      </c>
    </row>
    <row r="40" spans="8:25" x14ac:dyDescent="0.25">
      <c r="H40" s="237">
        <v>44009</v>
      </c>
      <c r="I40" s="156">
        <v>26955.03</v>
      </c>
      <c r="J40" s="156">
        <v>25815.119999999999</v>
      </c>
      <c r="K40" s="163">
        <v>26593.49</v>
      </c>
      <c r="L40" s="156">
        <f t="shared" si="0"/>
        <v>2020</v>
      </c>
    </row>
    <row r="41" spans="8:25" x14ac:dyDescent="0.25">
      <c r="H41" s="237">
        <v>43999</v>
      </c>
      <c r="I41" s="156">
        <v>27015.63</v>
      </c>
      <c r="J41" s="156">
        <v>25458.57</v>
      </c>
      <c r="K41" s="163">
        <v>26082.61</v>
      </c>
      <c r="L41" s="156">
        <f t="shared" si="0"/>
        <v>2020</v>
      </c>
    </row>
    <row r="42" spans="8:25" x14ac:dyDescent="0.25">
      <c r="H42" s="237">
        <v>43989</v>
      </c>
      <c r="I42" s="156">
        <v>27277.98</v>
      </c>
      <c r="J42" s="156">
        <v>25363.88</v>
      </c>
      <c r="K42" s="163">
        <v>26611.17</v>
      </c>
      <c r="L42" s="156">
        <f t="shared" si="0"/>
        <v>2020</v>
      </c>
    </row>
    <row r="43" spans="8:25" x14ac:dyDescent="0.25">
      <c r="H43" s="237">
        <v>43979</v>
      </c>
      <c r="I43" s="156">
        <v>27792.55</v>
      </c>
      <c r="J43" s="156">
        <v>25966.39</v>
      </c>
      <c r="K43" s="163">
        <v>26389.17</v>
      </c>
      <c r="L43" s="156">
        <f t="shared" si="0"/>
        <v>2020</v>
      </c>
    </row>
    <row r="44" spans="8:25" x14ac:dyDescent="0.25">
      <c r="H44" s="237">
        <v>43969</v>
      </c>
      <c r="I44" s="156">
        <v>27726.799999999999</v>
      </c>
      <c r="J44" s="156">
        <v>25868.73</v>
      </c>
      <c r="K44" s="163">
        <v>26984.12</v>
      </c>
      <c r="L44" s="156">
        <f t="shared" si="0"/>
        <v>2020</v>
      </c>
    </row>
    <row r="45" spans="8:25" x14ac:dyDescent="0.25">
      <c r="H45" s="237">
        <v>43959</v>
      </c>
      <c r="I45" s="156">
        <v>26234.16</v>
      </c>
      <c r="J45" s="156">
        <v>24143.599999999999</v>
      </c>
      <c r="K45" s="163">
        <v>26021.05</v>
      </c>
      <c r="L45" s="156">
        <f t="shared" si="0"/>
        <v>2020</v>
      </c>
    </row>
    <row r="46" spans="8:25" x14ac:dyDescent="0.25">
      <c r="H46" s="237">
        <v>43949</v>
      </c>
      <c r="I46" s="156">
        <v>25665.46</v>
      </c>
      <c r="J46" s="156">
        <v>24059.85</v>
      </c>
      <c r="K46" s="163">
        <v>24690.17</v>
      </c>
      <c r="L46" s="156">
        <f t="shared" si="0"/>
        <v>2020</v>
      </c>
    </row>
    <row r="47" spans="8:25" x14ac:dyDescent="0.25">
      <c r="H47" s="237">
        <v>43939</v>
      </c>
      <c r="I47" s="156">
        <v>25328.36</v>
      </c>
      <c r="J47" s="156">
        <v>22918.5</v>
      </c>
      <c r="K47" s="163">
        <v>24509.58</v>
      </c>
      <c r="L47" s="156">
        <f t="shared" si="0"/>
        <v>2020</v>
      </c>
    </row>
    <row r="48" spans="8:25" x14ac:dyDescent="0.25">
      <c r="H48" s="237">
        <v>43929</v>
      </c>
      <c r="I48" s="156">
        <v>25657.9</v>
      </c>
      <c r="J48" s="156">
        <v>23346.1</v>
      </c>
      <c r="K48" s="163">
        <v>24965.05</v>
      </c>
      <c r="L48" s="156">
        <f t="shared" si="0"/>
        <v>2020</v>
      </c>
    </row>
    <row r="49" spans="8:12" x14ac:dyDescent="0.25">
      <c r="H49" s="237">
        <v>43919</v>
      </c>
      <c r="I49" s="156">
        <v>24134.33</v>
      </c>
      <c r="J49" s="156">
        <v>22633.48</v>
      </c>
      <c r="K49" s="163">
        <v>23801.68</v>
      </c>
      <c r="L49" s="156">
        <f t="shared" si="0"/>
        <v>2020</v>
      </c>
    </row>
    <row r="50" spans="8:12" x14ac:dyDescent="0.25">
      <c r="H50" s="237">
        <v>43909</v>
      </c>
      <c r="I50" s="156">
        <v>24330.5</v>
      </c>
      <c r="J50" s="156">
        <v>18825.79</v>
      </c>
      <c r="K50" s="163">
        <v>24019.98</v>
      </c>
      <c r="L50" s="156">
        <f t="shared" si="0"/>
        <v>2020</v>
      </c>
    </row>
    <row r="51" spans="8:12" x14ac:dyDescent="0.25">
      <c r="H51" s="237">
        <v>43899</v>
      </c>
      <c r="I51" s="156">
        <v>28982.85</v>
      </c>
      <c r="J51" s="156">
        <v>18379.259999999998</v>
      </c>
      <c r="K51" s="163">
        <v>20658.14</v>
      </c>
      <c r="L51" s="156">
        <f t="shared" si="0"/>
        <v>2020</v>
      </c>
    </row>
    <row r="52" spans="8:12" x14ac:dyDescent="0.25">
      <c r="H52" s="237">
        <v>43889</v>
      </c>
      <c r="I52" s="156">
        <v>29460.13</v>
      </c>
      <c r="J52" s="156">
        <v>27317.360000000001</v>
      </c>
      <c r="K52" s="163">
        <v>28907.62</v>
      </c>
      <c r="L52" s="156">
        <f t="shared" si="0"/>
        <v>2020</v>
      </c>
    </row>
    <row r="53" spans="8:12" x14ac:dyDescent="0.25">
      <c r="H53" s="237">
        <v>43879</v>
      </c>
      <c r="I53" s="156">
        <v>32754.86</v>
      </c>
      <c r="J53" s="156">
        <v>28893.88</v>
      </c>
      <c r="K53" s="163">
        <v>29051.09</v>
      </c>
      <c r="L53" s="156">
        <f t="shared" si="0"/>
        <v>2020</v>
      </c>
    </row>
    <row r="54" spans="8:12" x14ac:dyDescent="0.25">
      <c r="H54" s="237">
        <v>43869</v>
      </c>
      <c r="I54" s="156">
        <v>31411.439999999999</v>
      </c>
      <c r="J54" s="156">
        <v>30682.74</v>
      </c>
      <c r="K54" s="163">
        <v>31218.21</v>
      </c>
      <c r="L54" s="156">
        <f t="shared" si="0"/>
        <v>2020</v>
      </c>
    </row>
    <row r="55" spans="8:12" x14ac:dyDescent="0.25">
      <c r="H55" s="237">
        <v>43859</v>
      </c>
      <c r="I55" s="156">
        <v>32070.53</v>
      </c>
      <c r="J55" s="156">
        <v>30610.89</v>
      </c>
      <c r="K55" s="163">
        <v>31126.1</v>
      </c>
      <c r="L55" s="156">
        <f t="shared" si="0"/>
        <v>2020</v>
      </c>
    </row>
    <row r="56" spans="8:12" x14ac:dyDescent="0.25">
      <c r="H56" s="237">
        <v>43849</v>
      </c>
      <c r="I56" s="156">
        <v>33145.33</v>
      </c>
      <c r="J56" s="156">
        <v>31535.86</v>
      </c>
      <c r="K56" s="163">
        <v>31761.72</v>
      </c>
      <c r="L56" s="156">
        <f t="shared" si="0"/>
        <v>2020</v>
      </c>
    </row>
    <row r="57" spans="8:12" x14ac:dyDescent="0.25">
      <c r="H57" s="237">
        <v>43839</v>
      </c>
      <c r="I57" s="156">
        <v>33492.720000000001</v>
      </c>
      <c r="J57" s="156">
        <v>30486.46</v>
      </c>
      <c r="K57" s="163">
        <v>32899.54</v>
      </c>
      <c r="L57" s="156">
        <f t="shared" si="0"/>
        <v>2020</v>
      </c>
    </row>
    <row r="58" spans="8:12" x14ac:dyDescent="0.25">
      <c r="H58" s="237">
        <v>43829</v>
      </c>
      <c r="I58" s="156">
        <v>32013.3</v>
      </c>
      <c r="J58" s="156">
        <v>30483.73</v>
      </c>
      <c r="K58" s="163">
        <v>30739.81</v>
      </c>
      <c r="L58" s="156">
        <f t="shared" si="0"/>
        <v>2019</v>
      </c>
    </row>
    <row r="59" spans="8:12" x14ac:dyDescent="0.25">
      <c r="H59" s="237">
        <v>43819</v>
      </c>
      <c r="I59" s="156">
        <v>30929.5</v>
      </c>
      <c r="J59" s="156">
        <v>29241.1</v>
      </c>
      <c r="K59" s="163">
        <v>30538.39</v>
      </c>
      <c r="L59" s="156">
        <f t="shared" si="0"/>
        <v>2019</v>
      </c>
    </row>
    <row r="60" spans="8:12" x14ac:dyDescent="0.25">
      <c r="H60" s="237">
        <v>43809</v>
      </c>
      <c r="I60" s="156">
        <v>30512.67</v>
      </c>
      <c r="J60" s="156">
        <v>28758.2</v>
      </c>
      <c r="K60" s="163">
        <v>30051.46</v>
      </c>
      <c r="L60" s="156">
        <f t="shared" si="0"/>
        <v>2019</v>
      </c>
    </row>
    <row r="61" spans="8:12" x14ac:dyDescent="0.25">
      <c r="H61" s="237">
        <v>43799</v>
      </c>
      <c r="I61" s="156">
        <v>29457.48</v>
      </c>
      <c r="J61" s="156">
        <v>28436.37</v>
      </c>
      <c r="K61" s="163">
        <v>28773.31</v>
      </c>
      <c r="L61" s="156">
        <f t="shared" si="0"/>
        <v>2019</v>
      </c>
    </row>
    <row r="62" spans="8:12" x14ac:dyDescent="0.25">
      <c r="H62" s="237">
        <v>43789</v>
      </c>
      <c r="I62" s="156">
        <v>29810.82</v>
      </c>
      <c r="J62" s="156">
        <v>28489.58</v>
      </c>
      <c r="K62" s="163">
        <v>28815.59</v>
      </c>
      <c r="L62" s="156">
        <f t="shared" si="0"/>
        <v>2019</v>
      </c>
    </row>
    <row r="63" spans="8:12" x14ac:dyDescent="0.25">
      <c r="H63" s="237">
        <v>43779</v>
      </c>
      <c r="I63" s="156">
        <v>29344.95</v>
      </c>
      <c r="J63" s="156">
        <v>27844.31</v>
      </c>
      <c r="K63" s="163">
        <v>29272.77</v>
      </c>
      <c r="L63" s="156">
        <f t="shared" si="0"/>
        <v>2019</v>
      </c>
    </row>
    <row r="64" spans="8:12" x14ac:dyDescent="0.25">
      <c r="H64" s="237">
        <v>43769</v>
      </c>
      <c r="I64" s="156">
        <v>30730.01</v>
      </c>
      <c r="J64" s="156">
        <v>28517.87</v>
      </c>
      <c r="K64" s="163">
        <v>28530.57</v>
      </c>
      <c r="L64" s="156">
        <f t="shared" si="0"/>
        <v>2019</v>
      </c>
    </row>
    <row r="65" spans="8:12" x14ac:dyDescent="0.25">
      <c r="H65" s="237">
        <v>43759</v>
      </c>
      <c r="I65" s="156">
        <v>30189.55</v>
      </c>
      <c r="J65" s="156">
        <v>28439.43</v>
      </c>
      <c r="K65" s="163">
        <v>29717.9</v>
      </c>
      <c r="L65" s="156">
        <f t="shared" si="0"/>
        <v>2019</v>
      </c>
    </row>
    <row r="66" spans="8:12" x14ac:dyDescent="0.25">
      <c r="H66" s="237">
        <v>43749</v>
      </c>
      <c r="I66" s="156">
        <v>29116.68</v>
      </c>
      <c r="J66" s="156">
        <v>28170.48</v>
      </c>
      <c r="K66" s="163">
        <v>28660.14</v>
      </c>
      <c r="L66" s="156">
        <f t="shared" si="0"/>
        <v>2019</v>
      </c>
    </row>
    <row r="67" spans="8:12" x14ac:dyDescent="0.25">
      <c r="H67" s="237">
        <v>43739</v>
      </c>
      <c r="I67" s="156">
        <v>29048.52</v>
      </c>
      <c r="J67" s="156">
        <v>27993.66</v>
      </c>
      <c r="K67" s="163">
        <v>28915.74</v>
      </c>
      <c r="L67" s="156">
        <f t="shared" si="0"/>
        <v>2019</v>
      </c>
    </row>
    <row r="68" spans="8:12" x14ac:dyDescent="0.25">
      <c r="H68" s="237">
        <v>43729</v>
      </c>
      <c r="I68" s="156">
        <v>30975.32</v>
      </c>
      <c r="J68" s="156">
        <v>28144.76</v>
      </c>
      <c r="K68" s="163">
        <v>28506.62</v>
      </c>
      <c r="L68" s="156">
        <f t="shared" si="0"/>
        <v>2019</v>
      </c>
    </row>
    <row r="69" spans="8:12" x14ac:dyDescent="0.25">
      <c r="H69" s="237">
        <v>43719</v>
      </c>
      <c r="I69" s="156">
        <v>31012.29</v>
      </c>
      <c r="J69" s="156">
        <v>29630.29</v>
      </c>
      <c r="K69" s="163">
        <v>30414.61</v>
      </c>
      <c r="L69" s="156">
        <f t="shared" si="0"/>
        <v>2019</v>
      </c>
    </row>
    <row r="70" spans="8:12" x14ac:dyDescent="0.25">
      <c r="H70" s="237">
        <v>43709</v>
      </c>
      <c r="I70" s="156">
        <v>32082.59</v>
      </c>
      <c r="J70" s="156">
        <v>29733.17</v>
      </c>
      <c r="K70" s="163">
        <v>29977.52</v>
      </c>
      <c r="L70" s="156">
        <f t="shared" si="0"/>
        <v>2019</v>
      </c>
    </row>
    <row r="71" spans="8:12" x14ac:dyDescent="0.25">
      <c r="H71" s="237">
        <v>43699</v>
      </c>
      <c r="I71" s="156">
        <v>30300.63</v>
      </c>
      <c r="J71" s="156">
        <v>27229.19</v>
      </c>
      <c r="K71" s="163">
        <v>30060.14</v>
      </c>
      <c r="L71" s="156">
        <f t="shared" si="0"/>
        <v>2019</v>
      </c>
    </row>
    <row r="72" spans="8:12" x14ac:dyDescent="0.25">
      <c r="H72" s="237">
        <v>43689</v>
      </c>
      <c r="I72" s="156">
        <v>27930.080000000002</v>
      </c>
      <c r="J72" s="156">
        <v>26823.21</v>
      </c>
      <c r="K72" s="163">
        <v>27479.56</v>
      </c>
      <c r="L72" s="156">
        <f t="shared" ref="L72:L135" si="1">YEAR(H72)</f>
        <v>2019</v>
      </c>
    </row>
    <row r="73" spans="8:12" x14ac:dyDescent="0.25">
      <c r="H73" s="237">
        <v>43679</v>
      </c>
      <c r="I73" s="156">
        <v>28025</v>
      </c>
      <c r="J73" s="156">
        <v>27132.18</v>
      </c>
      <c r="K73" s="163">
        <v>27749.39</v>
      </c>
      <c r="L73" s="156">
        <f t="shared" si="1"/>
        <v>2019</v>
      </c>
    </row>
    <row r="74" spans="8:12" x14ac:dyDescent="0.25">
      <c r="H74" s="237">
        <v>43669</v>
      </c>
      <c r="I74" s="156">
        <v>28534.59</v>
      </c>
      <c r="J74" s="156">
        <v>27137.8</v>
      </c>
      <c r="K74" s="163">
        <v>27494.6</v>
      </c>
      <c r="L74" s="156">
        <f t="shared" si="1"/>
        <v>2019</v>
      </c>
    </row>
    <row r="75" spans="8:12" x14ac:dyDescent="0.25">
      <c r="H75" s="237">
        <v>43659</v>
      </c>
      <c r="I75" s="156">
        <v>27759.439999999999</v>
      </c>
      <c r="J75" s="156">
        <v>26711.8</v>
      </c>
      <c r="K75" s="163">
        <v>27294.78</v>
      </c>
      <c r="L75" s="156">
        <f t="shared" si="1"/>
        <v>2019</v>
      </c>
    </row>
    <row r="76" spans="8:12" x14ac:dyDescent="0.25">
      <c r="H76" s="237">
        <v>43649</v>
      </c>
      <c r="I76" s="156">
        <v>27193.42</v>
      </c>
      <c r="J76" s="156">
        <v>25923.79</v>
      </c>
      <c r="K76" s="163">
        <v>26776.11</v>
      </c>
      <c r="L76" s="156">
        <f t="shared" si="1"/>
        <v>2019</v>
      </c>
    </row>
    <row r="77" spans="8:12" x14ac:dyDescent="0.25">
      <c r="H77" s="237">
        <v>43639</v>
      </c>
      <c r="I77" s="156">
        <v>27302.9</v>
      </c>
      <c r="J77" s="156">
        <v>25870.98</v>
      </c>
      <c r="K77" s="163">
        <v>26868.86</v>
      </c>
      <c r="L77" s="156">
        <f t="shared" si="1"/>
        <v>2019</v>
      </c>
    </row>
    <row r="78" spans="8:12" x14ac:dyDescent="0.25">
      <c r="H78" s="237">
        <v>43629</v>
      </c>
      <c r="I78" s="156">
        <v>26509.98</v>
      </c>
      <c r="J78" s="156">
        <v>25440.16</v>
      </c>
      <c r="K78" s="163">
        <v>26038.09</v>
      </c>
      <c r="L78" s="156">
        <f t="shared" si="1"/>
        <v>2019</v>
      </c>
    </row>
    <row r="79" spans="8:12" x14ac:dyDescent="0.25">
      <c r="H79" s="237">
        <v>43619</v>
      </c>
      <c r="I79" s="156">
        <v>26792.66</v>
      </c>
      <c r="J79" s="156">
        <v>25570.61</v>
      </c>
      <c r="K79" s="163">
        <v>26099.57</v>
      </c>
      <c r="L79" s="156">
        <f t="shared" si="1"/>
        <v>2019</v>
      </c>
    </row>
    <row r="80" spans="8:12" x14ac:dyDescent="0.25">
      <c r="H80" s="237">
        <v>43609</v>
      </c>
      <c r="I80" s="156">
        <v>26281.31</v>
      </c>
      <c r="J80" s="156">
        <v>25374.41</v>
      </c>
      <c r="K80" s="163">
        <v>25581.71</v>
      </c>
      <c r="L80" s="156">
        <f t="shared" si="1"/>
        <v>2019</v>
      </c>
    </row>
    <row r="81" spans="8:12" x14ac:dyDescent="0.25">
      <c r="H81" s="237">
        <v>43599</v>
      </c>
      <c r="I81" s="156">
        <v>27849.62</v>
      </c>
      <c r="J81" s="156">
        <v>25610</v>
      </c>
      <c r="K81" s="163">
        <v>25762.47</v>
      </c>
      <c r="L81" s="156">
        <f t="shared" si="1"/>
        <v>2019</v>
      </c>
    </row>
    <row r="82" spans="8:12" x14ac:dyDescent="0.25">
      <c r="H82" s="237">
        <v>43589</v>
      </c>
      <c r="I82" s="156">
        <v>28436.61</v>
      </c>
      <c r="J82" s="156">
        <v>27234.33</v>
      </c>
      <c r="K82" s="163">
        <v>27620.95</v>
      </c>
      <c r="L82" s="156">
        <f t="shared" si="1"/>
        <v>2019</v>
      </c>
    </row>
    <row r="83" spans="8:12" x14ac:dyDescent="0.25">
      <c r="H83" s="237">
        <v>43579</v>
      </c>
      <c r="I83" s="156">
        <v>28965.33</v>
      </c>
      <c r="J83" s="156">
        <v>27152.27</v>
      </c>
      <c r="K83" s="163">
        <v>28031.91</v>
      </c>
      <c r="L83" s="156">
        <f t="shared" si="1"/>
        <v>2019</v>
      </c>
    </row>
    <row r="84" spans="8:12" x14ac:dyDescent="0.25">
      <c r="H84" s="237">
        <v>43569</v>
      </c>
      <c r="I84" s="156">
        <v>29354.36</v>
      </c>
      <c r="J84" s="156">
        <v>28197.57</v>
      </c>
      <c r="K84" s="163">
        <v>28585.31</v>
      </c>
      <c r="L84" s="156">
        <f t="shared" si="1"/>
        <v>2019</v>
      </c>
    </row>
    <row r="85" spans="8:12" x14ac:dyDescent="0.25">
      <c r="H85" s="237">
        <v>43559</v>
      </c>
      <c r="I85" s="156">
        <v>29436.66</v>
      </c>
      <c r="J85" s="156">
        <v>27979.67</v>
      </c>
      <c r="K85" s="163">
        <v>28647.759999999998</v>
      </c>
      <c r="L85" s="156">
        <f t="shared" si="1"/>
        <v>2019</v>
      </c>
    </row>
    <row r="86" spans="8:12" x14ac:dyDescent="0.25">
      <c r="H86" s="237">
        <v>43549</v>
      </c>
      <c r="I86" s="156">
        <v>28054.34</v>
      </c>
      <c r="J86" s="156">
        <v>26816.86</v>
      </c>
      <c r="K86" s="163">
        <v>28005.31</v>
      </c>
      <c r="L86" s="156">
        <f t="shared" si="1"/>
        <v>2019</v>
      </c>
    </row>
    <row r="87" spans="8:12" x14ac:dyDescent="0.25">
      <c r="H87" s="237">
        <v>43539</v>
      </c>
      <c r="I87" s="156">
        <v>28154.49</v>
      </c>
      <c r="J87" s="156">
        <v>26475.98</v>
      </c>
      <c r="K87" s="163">
        <v>27143.51</v>
      </c>
      <c r="L87" s="156">
        <f t="shared" si="1"/>
        <v>2019</v>
      </c>
    </row>
    <row r="88" spans="8:12" x14ac:dyDescent="0.25">
      <c r="H88" s="237">
        <v>43529</v>
      </c>
      <c r="I88" s="156">
        <v>27279.19</v>
      </c>
      <c r="J88" s="156">
        <v>26018.560000000001</v>
      </c>
      <c r="K88" s="163">
        <v>26498.48</v>
      </c>
      <c r="L88" s="156">
        <f t="shared" si="1"/>
        <v>2019</v>
      </c>
    </row>
    <row r="89" spans="8:12" x14ac:dyDescent="0.25">
      <c r="H89" s="237">
        <v>43519</v>
      </c>
      <c r="I89" s="156">
        <v>28200.3</v>
      </c>
      <c r="J89" s="156">
        <v>26858.65</v>
      </c>
      <c r="K89" s="163">
        <v>26974.560000000001</v>
      </c>
      <c r="L89" s="156">
        <f t="shared" si="1"/>
        <v>2019</v>
      </c>
    </row>
    <row r="90" spans="8:12" x14ac:dyDescent="0.25">
      <c r="H90" s="237">
        <v>43509</v>
      </c>
      <c r="I90" s="156">
        <v>27179.200000000001</v>
      </c>
      <c r="J90" s="156">
        <v>25083.77</v>
      </c>
      <c r="K90" s="163">
        <v>27103.32</v>
      </c>
      <c r="L90" s="156">
        <f t="shared" si="1"/>
        <v>2019</v>
      </c>
    </row>
    <row r="91" spans="8:12" x14ac:dyDescent="0.25">
      <c r="H91" s="237">
        <v>43499</v>
      </c>
      <c r="I91" s="156">
        <v>26556.2</v>
      </c>
      <c r="J91" s="156">
        <v>25222.58</v>
      </c>
      <c r="K91" s="163">
        <v>25481.88</v>
      </c>
      <c r="L91" s="156">
        <f t="shared" si="1"/>
        <v>2019</v>
      </c>
    </row>
    <row r="92" spans="8:12" x14ac:dyDescent="0.25">
      <c r="H92" s="237">
        <v>43489</v>
      </c>
      <c r="I92" s="156">
        <v>26778.36</v>
      </c>
      <c r="J92" s="156">
        <v>25420.47</v>
      </c>
      <c r="K92" s="163">
        <v>26499.53</v>
      </c>
      <c r="L92" s="156">
        <f t="shared" si="1"/>
        <v>2019</v>
      </c>
    </row>
    <row r="93" spans="8:12" x14ac:dyDescent="0.25">
      <c r="H93" s="237">
        <v>43479</v>
      </c>
      <c r="I93" s="156">
        <v>26246.5</v>
      </c>
      <c r="J93" s="156">
        <v>25317.19</v>
      </c>
      <c r="K93" s="163">
        <v>25591.27</v>
      </c>
      <c r="L93" s="156">
        <f t="shared" si="1"/>
        <v>2019</v>
      </c>
    </row>
    <row r="94" spans="8:12" x14ac:dyDescent="0.25">
      <c r="H94" s="237">
        <v>43469</v>
      </c>
      <c r="I94" s="156">
        <v>26723.54</v>
      </c>
      <c r="J94" s="156">
        <v>25628.25</v>
      </c>
      <c r="K94" s="163">
        <v>26081.65</v>
      </c>
      <c r="L94" s="156">
        <f t="shared" si="1"/>
        <v>2019</v>
      </c>
    </row>
    <row r="95" spans="8:12" x14ac:dyDescent="0.25">
      <c r="H95" s="237">
        <v>43459</v>
      </c>
      <c r="I95" s="156">
        <v>25800.57</v>
      </c>
      <c r="J95" s="156">
        <v>25199.19</v>
      </c>
      <c r="K95" s="163">
        <v>25705.89</v>
      </c>
      <c r="L95" s="156">
        <f t="shared" si="1"/>
        <v>2018</v>
      </c>
    </row>
    <row r="96" spans="8:12" x14ac:dyDescent="0.25">
      <c r="H96" s="237">
        <v>43449</v>
      </c>
      <c r="I96" s="156">
        <v>25690.46</v>
      </c>
      <c r="J96" s="156">
        <v>25178.54</v>
      </c>
      <c r="K96" s="163">
        <v>25265.18</v>
      </c>
      <c r="L96" s="156">
        <f t="shared" si="1"/>
        <v>2018</v>
      </c>
    </row>
    <row r="97" spans="8:12" x14ac:dyDescent="0.25">
      <c r="H97" s="237">
        <v>43439</v>
      </c>
      <c r="I97" s="156">
        <v>25975.87</v>
      </c>
      <c r="J97" s="156">
        <v>25032.41</v>
      </c>
      <c r="K97" s="163">
        <v>25313.81</v>
      </c>
      <c r="L97" s="156">
        <f t="shared" si="1"/>
        <v>2018</v>
      </c>
    </row>
    <row r="98" spans="8:12" x14ac:dyDescent="0.25">
      <c r="H98" s="237">
        <v>43429</v>
      </c>
      <c r="I98" s="156">
        <v>27306.67</v>
      </c>
      <c r="J98" s="156">
        <v>25643.68</v>
      </c>
      <c r="K98" s="163">
        <v>25827.5</v>
      </c>
      <c r="L98" s="156">
        <f t="shared" si="1"/>
        <v>2018</v>
      </c>
    </row>
    <row r="99" spans="8:12" x14ac:dyDescent="0.25">
      <c r="H99" s="237">
        <v>43419</v>
      </c>
      <c r="I99" s="156">
        <v>27510.99</v>
      </c>
      <c r="J99" s="156">
        <v>26696.45</v>
      </c>
      <c r="K99" s="163">
        <v>27127.919999999998</v>
      </c>
      <c r="L99" s="156">
        <f t="shared" si="1"/>
        <v>2018</v>
      </c>
    </row>
    <row r="100" spans="8:12" x14ac:dyDescent="0.25">
      <c r="H100" s="237">
        <v>43409</v>
      </c>
      <c r="I100" s="156">
        <v>28218.07</v>
      </c>
      <c r="J100" s="156">
        <v>26586.66</v>
      </c>
      <c r="K100" s="163">
        <v>26880.44</v>
      </c>
      <c r="L100" s="156">
        <f t="shared" si="1"/>
        <v>2018</v>
      </c>
    </row>
    <row r="101" spans="8:12" x14ac:dyDescent="0.25">
      <c r="H101" s="237">
        <v>43399</v>
      </c>
      <c r="I101" s="156">
        <v>28053.7</v>
      </c>
      <c r="J101" s="156">
        <v>26464.32</v>
      </c>
      <c r="K101" s="163">
        <v>27973.08</v>
      </c>
      <c r="L101" s="156">
        <f t="shared" si="1"/>
        <v>2018</v>
      </c>
    </row>
    <row r="102" spans="8:12" x14ac:dyDescent="0.25">
      <c r="H102" s="237">
        <v>43389</v>
      </c>
      <c r="I102" s="156">
        <v>27221.23</v>
      </c>
      <c r="J102" s="156">
        <v>26298.19</v>
      </c>
      <c r="K102" s="163">
        <v>26581.759999999998</v>
      </c>
      <c r="L102" s="156">
        <f t="shared" si="1"/>
        <v>2018</v>
      </c>
    </row>
    <row r="103" spans="8:12" x14ac:dyDescent="0.25">
      <c r="H103" s="237">
        <v>43379</v>
      </c>
      <c r="I103" s="156">
        <v>27353.05</v>
      </c>
      <c r="J103" s="156">
        <v>26037.93</v>
      </c>
      <c r="K103" s="163">
        <v>27104.37</v>
      </c>
      <c r="L103" s="156">
        <f t="shared" si="1"/>
        <v>2018</v>
      </c>
    </row>
    <row r="104" spans="8:12" x14ac:dyDescent="0.25">
      <c r="H104" s="237">
        <v>43369</v>
      </c>
      <c r="I104" s="156">
        <v>26901.17</v>
      </c>
      <c r="J104" s="156">
        <v>25946.3</v>
      </c>
      <c r="K104" s="163">
        <v>26433.54</v>
      </c>
      <c r="L104" s="156">
        <f t="shared" si="1"/>
        <v>2018</v>
      </c>
    </row>
    <row r="105" spans="8:12" x14ac:dyDescent="0.25">
      <c r="H105" s="237">
        <v>43359</v>
      </c>
      <c r="I105" s="156">
        <v>26981.23</v>
      </c>
      <c r="J105" s="156">
        <v>25474.639999999999</v>
      </c>
      <c r="K105" s="163">
        <v>26515.599999999999</v>
      </c>
      <c r="L105" s="156">
        <f t="shared" si="1"/>
        <v>2018</v>
      </c>
    </row>
    <row r="106" spans="8:12" x14ac:dyDescent="0.25">
      <c r="H106" s="237">
        <v>43349</v>
      </c>
      <c r="I106" s="156">
        <v>26129.23</v>
      </c>
      <c r="J106" s="156">
        <v>24951.79</v>
      </c>
      <c r="K106" s="163">
        <v>25570.53</v>
      </c>
      <c r="L106" s="156">
        <f t="shared" si="1"/>
        <v>2018</v>
      </c>
    </row>
    <row r="107" spans="8:12" x14ac:dyDescent="0.25">
      <c r="H107" s="237">
        <v>43339</v>
      </c>
      <c r="I107" s="156">
        <v>26056.01</v>
      </c>
      <c r="J107" s="156">
        <v>24667.42</v>
      </c>
      <c r="K107" s="163">
        <v>25242.68</v>
      </c>
      <c r="L107" s="156">
        <f t="shared" si="1"/>
        <v>2018</v>
      </c>
    </row>
    <row r="108" spans="8:12" x14ac:dyDescent="0.25">
      <c r="H108" s="237">
        <v>43329</v>
      </c>
      <c r="I108" s="156">
        <v>25835.7</v>
      </c>
      <c r="J108" s="156">
        <v>24861.61</v>
      </c>
      <c r="K108" s="163">
        <v>25494.66</v>
      </c>
      <c r="L108" s="156">
        <f t="shared" si="1"/>
        <v>2018</v>
      </c>
    </row>
    <row r="109" spans="8:12" x14ac:dyDescent="0.25">
      <c r="H109" s="237">
        <v>43319</v>
      </c>
      <c r="I109" s="156">
        <v>27010.240000000002</v>
      </c>
      <c r="J109" s="156">
        <v>24314.240000000002</v>
      </c>
      <c r="K109" s="163">
        <v>25090.36</v>
      </c>
      <c r="L109" s="156">
        <f t="shared" si="1"/>
        <v>2018</v>
      </c>
    </row>
    <row r="110" spans="8:12" x14ac:dyDescent="0.25">
      <c r="H110" s="237">
        <v>43309</v>
      </c>
      <c r="I110" s="156">
        <v>27126.95</v>
      </c>
      <c r="J110" s="156">
        <v>26144.67</v>
      </c>
      <c r="K110" s="163">
        <v>26472.52</v>
      </c>
      <c r="L110" s="156">
        <f t="shared" si="1"/>
        <v>2018</v>
      </c>
    </row>
    <row r="111" spans="8:12" x14ac:dyDescent="0.25">
      <c r="H111" s="237">
        <v>43299</v>
      </c>
      <c r="I111" s="156">
        <v>27202.18</v>
      </c>
      <c r="J111" s="156">
        <v>25537.58</v>
      </c>
      <c r="K111" s="163">
        <v>26720.97</v>
      </c>
      <c r="L111" s="156">
        <f t="shared" si="1"/>
        <v>2018</v>
      </c>
    </row>
    <row r="112" spans="8:12" x14ac:dyDescent="0.25">
      <c r="H112" s="237">
        <v>43289</v>
      </c>
      <c r="I112" s="156">
        <v>27618.46</v>
      </c>
      <c r="J112" s="156">
        <v>26245.86</v>
      </c>
      <c r="K112" s="163">
        <v>26252.13</v>
      </c>
      <c r="L112" s="156">
        <f t="shared" si="1"/>
        <v>2018</v>
      </c>
    </row>
    <row r="113" spans="8:12" x14ac:dyDescent="0.25">
      <c r="H113" s="237">
        <v>43279</v>
      </c>
      <c r="I113" s="156">
        <v>27598.04</v>
      </c>
      <c r="J113" s="156">
        <v>25672.37</v>
      </c>
      <c r="K113" s="163">
        <v>27148.89</v>
      </c>
      <c r="L113" s="156">
        <f t="shared" si="1"/>
        <v>2018</v>
      </c>
    </row>
    <row r="114" spans="8:12" x14ac:dyDescent="0.25">
      <c r="H114" s="237">
        <v>43269</v>
      </c>
      <c r="I114" s="156">
        <v>28675.49</v>
      </c>
      <c r="J114" s="156">
        <v>27430.62</v>
      </c>
      <c r="K114" s="163">
        <v>27569.51</v>
      </c>
      <c r="L114" s="156">
        <f t="shared" si="1"/>
        <v>2018</v>
      </c>
    </row>
    <row r="115" spans="8:12" x14ac:dyDescent="0.25">
      <c r="H115" s="237">
        <v>43259</v>
      </c>
      <c r="I115" s="156">
        <v>29364.799999999999</v>
      </c>
      <c r="J115" s="156">
        <v>28478.25</v>
      </c>
      <c r="K115" s="163">
        <v>28569.88</v>
      </c>
      <c r="L115" s="156">
        <f t="shared" si="1"/>
        <v>2018</v>
      </c>
    </row>
    <row r="116" spans="8:12" x14ac:dyDescent="0.25">
      <c r="H116" s="237">
        <v>43249</v>
      </c>
      <c r="I116" s="156">
        <v>29413.35</v>
      </c>
      <c r="J116" s="156">
        <v>28713.19</v>
      </c>
      <c r="K116" s="163">
        <v>28951.67</v>
      </c>
      <c r="L116" s="156">
        <f t="shared" si="1"/>
        <v>2018</v>
      </c>
    </row>
    <row r="117" spans="8:12" x14ac:dyDescent="0.25">
      <c r="H117" s="237">
        <v>43239</v>
      </c>
      <c r="I117" s="156">
        <v>29397.040000000001</v>
      </c>
      <c r="J117" s="156">
        <v>28228.44</v>
      </c>
      <c r="K117" s="163">
        <v>29098.35</v>
      </c>
      <c r="L117" s="156">
        <f t="shared" si="1"/>
        <v>2018</v>
      </c>
    </row>
    <row r="118" spans="8:12" x14ac:dyDescent="0.25">
      <c r="H118" s="237">
        <v>43229</v>
      </c>
      <c r="I118" s="156">
        <v>29882.59</v>
      </c>
      <c r="J118" s="156">
        <v>28363.47</v>
      </c>
      <c r="K118" s="163">
        <v>28525.59</v>
      </c>
      <c r="L118" s="156">
        <f t="shared" si="1"/>
        <v>2018</v>
      </c>
    </row>
    <row r="119" spans="8:12" x14ac:dyDescent="0.25">
      <c r="H119" s="237">
        <v>43219</v>
      </c>
      <c r="I119" s="156">
        <v>29556.42</v>
      </c>
      <c r="J119" s="156">
        <v>28716.639999999999</v>
      </c>
      <c r="K119" s="163">
        <v>29416.65</v>
      </c>
      <c r="L119" s="156">
        <f t="shared" si="1"/>
        <v>2018</v>
      </c>
    </row>
    <row r="120" spans="8:12" x14ac:dyDescent="0.25">
      <c r="H120" s="237">
        <v>43209</v>
      </c>
      <c r="I120" s="156">
        <v>30675.27</v>
      </c>
      <c r="J120" s="156">
        <v>29112.5</v>
      </c>
      <c r="K120" s="163">
        <v>29413.99</v>
      </c>
      <c r="L120" s="156">
        <f t="shared" si="1"/>
        <v>2018</v>
      </c>
    </row>
    <row r="121" spans="8:12" x14ac:dyDescent="0.25">
      <c r="H121" s="237">
        <v>43199</v>
      </c>
      <c r="I121" s="156">
        <v>30495.14</v>
      </c>
      <c r="J121" s="156">
        <v>29482.23</v>
      </c>
      <c r="K121" s="163">
        <v>30329.33</v>
      </c>
      <c r="L121" s="156">
        <f t="shared" si="1"/>
        <v>2018</v>
      </c>
    </row>
    <row r="122" spans="8:12" x14ac:dyDescent="0.25">
      <c r="H122" s="237">
        <v>43189</v>
      </c>
      <c r="I122" s="156">
        <v>30219.05</v>
      </c>
      <c r="J122" s="156">
        <v>29173.67</v>
      </c>
      <c r="K122" s="163">
        <v>29588.65</v>
      </c>
      <c r="L122" s="156">
        <f t="shared" si="1"/>
        <v>2018</v>
      </c>
    </row>
    <row r="123" spans="8:12" x14ac:dyDescent="0.25">
      <c r="H123" s="237">
        <v>43179</v>
      </c>
      <c r="I123" s="156">
        <v>30971.38</v>
      </c>
      <c r="J123" s="156">
        <v>29873.11</v>
      </c>
      <c r="K123" s="163">
        <v>29953.32</v>
      </c>
      <c r="L123" s="156">
        <f t="shared" si="1"/>
        <v>2018</v>
      </c>
    </row>
    <row r="124" spans="8:12" x14ac:dyDescent="0.25">
      <c r="H124" s="237">
        <v>43169</v>
      </c>
      <c r="I124" s="156">
        <v>31311.21</v>
      </c>
      <c r="J124" s="156">
        <v>30267.52</v>
      </c>
      <c r="K124" s="163">
        <v>30673.9</v>
      </c>
      <c r="L124" s="156">
        <f t="shared" si="1"/>
        <v>2018</v>
      </c>
    </row>
    <row r="125" spans="8:12" x14ac:dyDescent="0.25">
      <c r="H125" s="237">
        <v>43159</v>
      </c>
      <c r="I125" s="156">
        <v>31738.82</v>
      </c>
      <c r="J125" s="156">
        <v>30432.69</v>
      </c>
      <c r="K125" s="163">
        <v>31045.89</v>
      </c>
      <c r="L125" s="156">
        <f t="shared" si="1"/>
        <v>2018</v>
      </c>
    </row>
    <row r="126" spans="8:12" x14ac:dyDescent="0.25">
      <c r="H126" s="237">
        <v>43149</v>
      </c>
      <c r="I126" s="156">
        <v>32605.52</v>
      </c>
      <c r="J126" s="156">
        <v>31568.18</v>
      </c>
      <c r="K126" s="163">
        <v>31599.439999999999</v>
      </c>
      <c r="L126" s="156">
        <f t="shared" si="1"/>
        <v>2018</v>
      </c>
    </row>
    <row r="127" spans="8:12" x14ac:dyDescent="0.25">
      <c r="H127" s="237">
        <v>43139</v>
      </c>
      <c r="I127" s="156">
        <v>32568.95</v>
      </c>
      <c r="J127" s="156">
        <v>30798.57</v>
      </c>
      <c r="K127" s="163">
        <v>32328.78</v>
      </c>
      <c r="L127" s="156">
        <f t="shared" si="1"/>
        <v>2018</v>
      </c>
    </row>
    <row r="128" spans="8:12" x14ac:dyDescent="0.25">
      <c r="H128" s="237">
        <v>43129</v>
      </c>
      <c r="I128" s="156">
        <v>32570.959999999999</v>
      </c>
      <c r="J128" s="156">
        <v>31425.18</v>
      </c>
      <c r="K128" s="163">
        <v>31559.25</v>
      </c>
      <c r="L128" s="156">
        <f t="shared" si="1"/>
        <v>2018</v>
      </c>
    </row>
    <row r="129" spans="8:12" x14ac:dyDescent="0.25">
      <c r="H129" s="237">
        <v>43119</v>
      </c>
      <c r="I129" s="156">
        <v>33052.980000000003</v>
      </c>
      <c r="J129" s="156">
        <v>31813.24</v>
      </c>
      <c r="K129" s="163">
        <v>32475.47</v>
      </c>
      <c r="L129" s="156">
        <f t="shared" si="1"/>
        <v>2018</v>
      </c>
    </row>
    <row r="130" spans="8:12" x14ac:dyDescent="0.25">
      <c r="H130" s="237">
        <v>43109</v>
      </c>
      <c r="I130" s="156">
        <v>32415.11</v>
      </c>
      <c r="J130" s="156">
        <v>30803.95</v>
      </c>
      <c r="K130" s="163">
        <v>32209.74</v>
      </c>
      <c r="L130" s="156">
        <f t="shared" si="1"/>
        <v>2018</v>
      </c>
    </row>
    <row r="131" spans="8:12" x14ac:dyDescent="0.25">
      <c r="H131" s="237">
        <v>43099</v>
      </c>
      <c r="I131" s="156">
        <v>31322.3</v>
      </c>
      <c r="J131" s="156">
        <v>29843.77</v>
      </c>
      <c r="K131" s="163">
        <v>31183.17</v>
      </c>
      <c r="L131" s="156">
        <f t="shared" si="1"/>
        <v>2017</v>
      </c>
    </row>
    <row r="132" spans="8:12" x14ac:dyDescent="0.25">
      <c r="H132" s="237">
        <v>43089</v>
      </c>
      <c r="I132" s="156">
        <v>30108.05</v>
      </c>
      <c r="J132" s="156">
        <v>29248.26</v>
      </c>
      <c r="K132" s="163">
        <v>29857.19</v>
      </c>
      <c r="L132" s="156">
        <f t="shared" si="1"/>
        <v>2017</v>
      </c>
    </row>
    <row r="133" spans="8:12" x14ac:dyDescent="0.25">
      <c r="H133" s="237">
        <v>43079</v>
      </c>
      <c r="I133" s="156">
        <v>29557.39</v>
      </c>
      <c r="J133" s="156">
        <v>28107.63</v>
      </c>
      <c r="K133" s="163">
        <v>29386.75</v>
      </c>
      <c r="L133" s="156">
        <f t="shared" si="1"/>
        <v>2017</v>
      </c>
    </row>
    <row r="134" spans="8:12" x14ac:dyDescent="0.25">
      <c r="H134" s="237">
        <v>43069</v>
      </c>
      <c r="I134" s="156">
        <v>30487.51</v>
      </c>
      <c r="J134" s="156">
        <v>28385.01</v>
      </c>
      <c r="K134" s="163">
        <v>28571.65</v>
      </c>
      <c r="L134" s="156">
        <f t="shared" si="1"/>
        <v>2017</v>
      </c>
    </row>
    <row r="135" spans="8:12" x14ac:dyDescent="0.25">
      <c r="H135" s="237">
        <v>43059</v>
      </c>
      <c r="I135" s="156">
        <v>30769.87</v>
      </c>
      <c r="J135" s="156">
        <v>29599.42</v>
      </c>
      <c r="K135" s="163">
        <v>30256.5</v>
      </c>
      <c r="L135" s="156">
        <f t="shared" si="1"/>
        <v>2017</v>
      </c>
    </row>
    <row r="136" spans="8:12" x14ac:dyDescent="0.25">
      <c r="H136" s="237">
        <v>43049</v>
      </c>
      <c r="I136" s="156">
        <v>30692.63</v>
      </c>
      <c r="J136" s="156">
        <v>29690.09</v>
      </c>
      <c r="K136" s="163">
        <v>30517.49</v>
      </c>
      <c r="L136" s="156">
        <f t="shared" ref="L136:L186" si="2">YEAR(H136)</f>
        <v>2017</v>
      </c>
    </row>
    <row r="137" spans="8:12" x14ac:dyDescent="0.25">
      <c r="H137" s="237">
        <v>43039</v>
      </c>
      <c r="I137" s="156">
        <v>30197.67</v>
      </c>
      <c r="J137" s="156">
        <v>29435.29</v>
      </c>
      <c r="K137" s="163">
        <v>30150.49</v>
      </c>
      <c r="L137" s="156">
        <f t="shared" si="2"/>
        <v>2017</v>
      </c>
    </row>
    <row r="138" spans="8:12" x14ac:dyDescent="0.25">
      <c r="H138" s="237">
        <v>43029</v>
      </c>
      <c r="I138" s="156">
        <v>29924.87</v>
      </c>
      <c r="J138" s="156">
        <v>29336.91</v>
      </c>
      <c r="K138" s="163">
        <v>29622.41</v>
      </c>
      <c r="L138" s="156">
        <f t="shared" si="2"/>
        <v>2017</v>
      </c>
    </row>
    <row r="139" spans="8:12" x14ac:dyDescent="0.25">
      <c r="H139" s="237">
        <v>43019</v>
      </c>
      <c r="I139" s="156">
        <v>30463.4</v>
      </c>
      <c r="J139" s="156">
        <v>29503.53</v>
      </c>
      <c r="K139" s="163">
        <v>29736.63</v>
      </c>
      <c r="L139" s="156">
        <f t="shared" si="2"/>
        <v>2017</v>
      </c>
    </row>
    <row r="140" spans="8:12" x14ac:dyDescent="0.25">
      <c r="H140" s="237">
        <v>43009</v>
      </c>
      <c r="I140" s="156">
        <v>30033.3</v>
      </c>
      <c r="J140" s="156">
        <v>29092.65</v>
      </c>
      <c r="K140" s="163">
        <v>29985.88</v>
      </c>
      <c r="L140" s="156">
        <f t="shared" si="2"/>
        <v>2017</v>
      </c>
    </row>
    <row r="141" spans="8:12" x14ac:dyDescent="0.25">
      <c r="H141" s="237">
        <v>42999</v>
      </c>
      <c r="I141" s="156">
        <v>30411.63</v>
      </c>
      <c r="J141" s="156">
        <v>29322.93</v>
      </c>
      <c r="K141" s="163">
        <v>29345.84</v>
      </c>
      <c r="L141" s="156">
        <f t="shared" si="2"/>
        <v>2017</v>
      </c>
    </row>
    <row r="142" spans="8:12" x14ac:dyDescent="0.25">
      <c r="H142" s="237">
        <v>42989</v>
      </c>
      <c r="I142" s="156">
        <v>32328.14</v>
      </c>
      <c r="J142" s="156">
        <v>30082.25</v>
      </c>
      <c r="K142" s="163">
        <v>30237.13</v>
      </c>
      <c r="L142" s="156">
        <f t="shared" si="2"/>
        <v>2017</v>
      </c>
    </row>
    <row r="143" spans="8:12" x14ac:dyDescent="0.25">
      <c r="H143" s="237">
        <v>42979</v>
      </c>
      <c r="I143" s="156">
        <v>32874.78</v>
      </c>
      <c r="J143" s="156">
        <v>31988.47</v>
      </c>
      <c r="K143" s="163">
        <v>32245.35</v>
      </c>
      <c r="L143" s="156">
        <f t="shared" si="2"/>
        <v>2017</v>
      </c>
    </row>
    <row r="144" spans="8:12" x14ac:dyDescent="0.25">
      <c r="H144" s="237">
        <v>42969</v>
      </c>
      <c r="I144" s="156">
        <v>32340.84</v>
      </c>
      <c r="J144" s="156">
        <v>31185.18</v>
      </c>
      <c r="K144" s="163">
        <v>32083.71</v>
      </c>
      <c r="L144" s="156">
        <f t="shared" si="2"/>
        <v>2017</v>
      </c>
    </row>
    <row r="145" spans="8:12" x14ac:dyDescent="0.25">
      <c r="H145" s="237">
        <v>42959</v>
      </c>
      <c r="I145" s="156">
        <v>31788.17</v>
      </c>
      <c r="J145" s="156">
        <v>30635.24</v>
      </c>
      <c r="K145" s="163">
        <v>31577.18</v>
      </c>
      <c r="L145" s="156">
        <f t="shared" si="2"/>
        <v>2017</v>
      </c>
    </row>
    <row r="146" spans="8:12" x14ac:dyDescent="0.25">
      <c r="H146" s="237">
        <v>42949</v>
      </c>
      <c r="I146" s="156">
        <v>31860.26</v>
      </c>
      <c r="J146" s="156">
        <v>30252.73</v>
      </c>
      <c r="K146" s="163">
        <v>31635.61</v>
      </c>
      <c r="L146" s="156">
        <f t="shared" si="2"/>
        <v>2017</v>
      </c>
    </row>
    <row r="147" spans="8:12" x14ac:dyDescent="0.25">
      <c r="H147" s="237">
        <v>42939</v>
      </c>
      <c r="I147" s="156">
        <v>30487.43</v>
      </c>
      <c r="J147" s="156">
        <v>29528.93</v>
      </c>
      <c r="K147" s="163">
        <v>30361.08</v>
      </c>
      <c r="L147" s="156">
        <f t="shared" si="2"/>
        <v>2017</v>
      </c>
    </row>
    <row r="148" spans="8:12" x14ac:dyDescent="0.25">
      <c r="H148" s="237">
        <v>42929</v>
      </c>
      <c r="I148" s="156">
        <v>30193.97</v>
      </c>
      <c r="J148" s="156">
        <v>29089.67</v>
      </c>
      <c r="K148" s="163">
        <v>30063.599999999999</v>
      </c>
      <c r="L148" s="156">
        <f t="shared" si="2"/>
        <v>2017</v>
      </c>
    </row>
    <row r="149" spans="8:12" x14ac:dyDescent="0.25">
      <c r="H149" s="237">
        <v>42919</v>
      </c>
      <c r="I149" s="156">
        <v>29811.62</v>
      </c>
      <c r="J149" s="156">
        <v>28655.16</v>
      </c>
      <c r="K149" s="163">
        <v>29446.39</v>
      </c>
      <c r="L149" s="156">
        <f t="shared" si="2"/>
        <v>2017</v>
      </c>
    </row>
    <row r="150" spans="8:12" x14ac:dyDescent="0.25">
      <c r="H150" s="237">
        <v>42909</v>
      </c>
      <c r="I150" s="156">
        <v>30032.17</v>
      </c>
      <c r="J150" s="156">
        <v>29266.58</v>
      </c>
      <c r="K150" s="163">
        <v>29811.14</v>
      </c>
      <c r="L150" s="156">
        <f t="shared" si="2"/>
        <v>2017</v>
      </c>
    </row>
    <row r="151" spans="8:12" x14ac:dyDescent="0.25">
      <c r="H151" s="237">
        <v>42899</v>
      </c>
      <c r="I151" s="156">
        <v>30658.23</v>
      </c>
      <c r="J151" s="156">
        <v>29523.31</v>
      </c>
      <c r="K151" s="163">
        <v>29802.3</v>
      </c>
      <c r="L151" s="156">
        <f t="shared" si="2"/>
        <v>2017</v>
      </c>
    </row>
    <row r="152" spans="8:12" x14ac:dyDescent="0.25">
      <c r="H152" s="237">
        <v>42889</v>
      </c>
      <c r="I152" s="156">
        <v>31117.58</v>
      </c>
      <c r="J152" s="156">
        <v>30073.49</v>
      </c>
      <c r="K152" s="163">
        <v>30374.26</v>
      </c>
      <c r="L152" s="156">
        <f t="shared" si="2"/>
        <v>2017</v>
      </c>
    </row>
    <row r="153" spans="8:12" x14ac:dyDescent="0.25">
      <c r="H153" s="237">
        <v>42879</v>
      </c>
      <c r="I153" s="156">
        <v>31057.14</v>
      </c>
      <c r="J153" s="156">
        <v>29762.67</v>
      </c>
      <c r="K153" s="163">
        <v>30678.400000000001</v>
      </c>
      <c r="L153" s="156">
        <f t="shared" si="2"/>
        <v>2017</v>
      </c>
    </row>
    <row r="154" spans="8:12" x14ac:dyDescent="0.25">
      <c r="H154" s="237">
        <v>42869</v>
      </c>
      <c r="I154" s="156">
        <v>30805.56</v>
      </c>
      <c r="J154" s="156">
        <v>29619.68</v>
      </c>
      <c r="K154" s="163">
        <v>30349.02</v>
      </c>
      <c r="L154" s="156">
        <f t="shared" si="2"/>
        <v>2017</v>
      </c>
    </row>
    <row r="155" spans="8:12" x14ac:dyDescent="0.25">
      <c r="H155" s="237">
        <v>42859</v>
      </c>
      <c r="I155" s="156">
        <v>29760.98</v>
      </c>
      <c r="J155" s="156">
        <v>28763.91</v>
      </c>
      <c r="K155" s="163">
        <v>29620.880000000001</v>
      </c>
      <c r="L155" s="156">
        <f t="shared" si="2"/>
        <v>2017</v>
      </c>
    </row>
    <row r="156" spans="8:12" x14ac:dyDescent="0.25">
      <c r="H156" s="237">
        <v>42849</v>
      </c>
      <c r="I156" s="156">
        <v>31298.75</v>
      </c>
      <c r="J156" s="156">
        <v>28818.48</v>
      </c>
      <c r="K156" s="163">
        <v>28871.93</v>
      </c>
      <c r="L156" s="156">
        <f t="shared" si="2"/>
        <v>2017</v>
      </c>
    </row>
    <row r="157" spans="8:12" x14ac:dyDescent="0.25">
      <c r="H157" s="237">
        <v>42839</v>
      </c>
      <c r="I157" s="156">
        <v>31826.83</v>
      </c>
      <c r="J157" s="156">
        <v>31014.06</v>
      </c>
      <c r="K157" s="163">
        <v>31220.87</v>
      </c>
      <c r="L157" s="156">
        <f t="shared" si="2"/>
        <v>2017</v>
      </c>
    </row>
    <row r="158" spans="8:12" x14ac:dyDescent="0.25">
      <c r="H158" s="237">
        <v>42829</v>
      </c>
      <c r="I158" s="156">
        <v>31502.43</v>
      </c>
      <c r="J158" s="156">
        <v>30150.81</v>
      </c>
      <c r="K158" s="163">
        <v>31275.919999999998</v>
      </c>
      <c r="L158" s="156">
        <f t="shared" si="2"/>
        <v>2017</v>
      </c>
    </row>
    <row r="159" spans="8:12" x14ac:dyDescent="0.25">
      <c r="H159" s="237">
        <v>42819</v>
      </c>
      <c r="I159" s="156">
        <v>31653.78</v>
      </c>
      <c r="J159" s="156">
        <v>30235.119999999999</v>
      </c>
      <c r="K159" s="163">
        <v>30886.98</v>
      </c>
      <c r="L159" s="156">
        <f t="shared" si="2"/>
        <v>2017</v>
      </c>
    </row>
    <row r="160" spans="8:12" x14ac:dyDescent="0.25">
      <c r="H160" s="237">
        <v>42809</v>
      </c>
      <c r="I160" s="156">
        <v>31399.38</v>
      </c>
      <c r="J160" s="156">
        <v>29997.77</v>
      </c>
      <c r="K160" s="163">
        <v>31066.06</v>
      </c>
      <c r="L160" s="156">
        <f t="shared" si="2"/>
        <v>2017</v>
      </c>
    </row>
    <row r="161" spans="8:12" x14ac:dyDescent="0.25">
      <c r="H161" s="237">
        <v>42799</v>
      </c>
      <c r="I161" s="156">
        <v>32174.38</v>
      </c>
      <c r="J161" s="156">
        <v>30047.53</v>
      </c>
      <c r="K161" s="163">
        <v>30181.11</v>
      </c>
      <c r="L161" s="156">
        <f t="shared" si="2"/>
        <v>2017</v>
      </c>
    </row>
    <row r="162" spans="8:12" x14ac:dyDescent="0.25">
      <c r="H162" s="237">
        <v>42789</v>
      </c>
      <c r="I162" s="156">
        <v>33643.18</v>
      </c>
      <c r="J162" s="156">
        <v>31613.83</v>
      </c>
      <c r="K162" s="163">
        <v>32116.75</v>
      </c>
      <c r="L162" s="156">
        <f t="shared" si="2"/>
        <v>2017</v>
      </c>
    </row>
    <row r="163" spans="8:12" x14ac:dyDescent="0.25">
      <c r="H163" s="237">
        <v>42779</v>
      </c>
      <c r="I163" s="156">
        <v>32782.67</v>
      </c>
      <c r="J163" s="156">
        <v>31808.26</v>
      </c>
      <c r="K163" s="163">
        <v>32263.43</v>
      </c>
      <c r="L163" s="156">
        <f t="shared" si="2"/>
        <v>2017</v>
      </c>
    </row>
    <row r="164" spans="8:12" x14ac:dyDescent="0.25">
      <c r="H164" s="237">
        <v>42769</v>
      </c>
      <c r="I164" s="156">
        <v>33106.589999999997</v>
      </c>
      <c r="J164" s="156">
        <v>31699.83</v>
      </c>
      <c r="K164" s="163">
        <v>32424.99</v>
      </c>
      <c r="L164" s="156">
        <f t="shared" si="2"/>
        <v>2017</v>
      </c>
    </row>
    <row r="165" spans="8:12" x14ac:dyDescent="0.25">
      <c r="H165" s="237">
        <v>42759</v>
      </c>
      <c r="I165" s="156">
        <v>32573.37</v>
      </c>
      <c r="J165" s="156">
        <v>30967.759999999998</v>
      </c>
      <c r="K165" s="163">
        <v>32092.79</v>
      </c>
      <c r="L165" s="156">
        <f t="shared" si="2"/>
        <v>2017</v>
      </c>
    </row>
    <row r="166" spans="8:12" x14ac:dyDescent="0.25">
      <c r="H166" s="237">
        <v>42749</v>
      </c>
      <c r="I166" s="156">
        <v>31983.88</v>
      </c>
      <c r="J166" s="156">
        <v>30516.44</v>
      </c>
      <c r="K166" s="163">
        <v>31582.48</v>
      </c>
      <c r="L166" s="156">
        <f t="shared" si="2"/>
        <v>2017</v>
      </c>
    </row>
    <row r="167" spans="8:12" x14ac:dyDescent="0.25">
      <c r="H167" s="237">
        <v>42739</v>
      </c>
      <c r="I167" s="156">
        <v>31883.73</v>
      </c>
      <c r="J167" s="156">
        <v>29762.43</v>
      </c>
      <c r="K167" s="163">
        <v>31665.59</v>
      </c>
      <c r="L167" s="156">
        <f t="shared" si="2"/>
        <v>2017</v>
      </c>
    </row>
    <row r="168" spans="8:12" x14ac:dyDescent="0.25">
      <c r="H168" s="237">
        <v>42729</v>
      </c>
      <c r="I168" s="156">
        <v>30441.93</v>
      </c>
      <c r="J168" s="156">
        <v>28692.93</v>
      </c>
      <c r="K168" s="163">
        <v>29855.42</v>
      </c>
      <c r="L168" s="156">
        <f t="shared" si="2"/>
        <v>2016</v>
      </c>
    </row>
    <row r="169" spans="8:12" x14ac:dyDescent="0.25">
      <c r="H169" s="237">
        <v>42719</v>
      </c>
      <c r="I169" s="156">
        <v>30106.52</v>
      </c>
      <c r="J169" s="156">
        <v>28566.5</v>
      </c>
      <c r="K169" s="163">
        <v>28692.93</v>
      </c>
      <c r="L169" s="156">
        <f t="shared" si="2"/>
        <v>2016</v>
      </c>
    </row>
    <row r="170" spans="8:12" x14ac:dyDescent="0.25">
      <c r="H170" s="237">
        <v>42709</v>
      </c>
      <c r="I170" s="156">
        <v>30653.65</v>
      </c>
      <c r="J170" s="156">
        <v>29253.72</v>
      </c>
      <c r="K170" s="163">
        <v>29799.32</v>
      </c>
      <c r="L170" s="156">
        <f t="shared" si="2"/>
        <v>2016</v>
      </c>
    </row>
    <row r="171" spans="8:12" x14ac:dyDescent="0.25">
      <c r="H171" s="237">
        <v>42699</v>
      </c>
      <c r="I171" s="156">
        <v>30199.360000000001</v>
      </c>
      <c r="J171" s="156">
        <v>28907.38</v>
      </c>
      <c r="K171" s="163">
        <v>29809.69</v>
      </c>
      <c r="L171" s="156">
        <f t="shared" si="2"/>
        <v>2016</v>
      </c>
    </row>
    <row r="172" spans="8:12" x14ac:dyDescent="0.25">
      <c r="H172" s="237">
        <v>42689</v>
      </c>
      <c r="I172" s="156">
        <v>30609.439999999999</v>
      </c>
      <c r="J172" s="156">
        <v>29364.560000000001</v>
      </c>
      <c r="K172" s="163">
        <v>29506.19</v>
      </c>
      <c r="L172" s="156">
        <f t="shared" si="2"/>
        <v>2016</v>
      </c>
    </row>
    <row r="173" spans="8:12" x14ac:dyDescent="0.25">
      <c r="H173" s="237">
        <v>42679</v>
      </c>
      <c r="I173" s="156">
        <v>32823.18</v>
      </c>
      <c r="J173" s="156">
        <v>29692.02</v>
      </c>
      <c r="K173" s="163">
        <v>30083.61</v>
      </c>
      <c r="L173" s="156">
        <f t="shared" si="2"/>
        <v>2016</v>
      </c>
    </row>
    <row r="174" spans="8:12" x14ac:dyDescent="0.25">
      <c r="H174" s="237">
        <v>42669</v>
      </c>
      <c r="I174" s="156">
        <v>32320.82</v>
      </c>
      <c r="J174" s="156">
        <v>30794.31</v>
      </c>
      <c r="K174" s="163">
        <v>32111.84</v>
      </c>
      <c r="L174" s="156">
        <f t="shared" si="2"/>
        <v>2016</v>
      </c>
    </row>
    <row r="175" spans="8:12" x14ac:dyDescent="0.25">
      <c r="H175" s="237">
        <v>42659</v>
      </c>
      <c r="I175" s="156">
        <v>31740.82</v>
      </c>
      <c r="J175" s="156">
        <v>29819.82</v>
      </c>
      <c r="K175" s="163">
        <v>30780.32</v>
      </c>
      <c r="L175" s="156">
        <f t="shared" si="2"/>
        <v>2016</v>
      </c>
    </row>
    <row r="176" spans="8:12" x14ac:dyDescent="0.25">
      <c r="H176" s="237">
        <v>42649</v>
      </c>
      <c r="I176" s="156">
        <v>34052.46</v>
      </c>
      <c r="J176" s="156">
        <v>31240.880000000001</v>
      </c>
      <c r="K176" s="163">
        <v>32646.67</v>
      </c>
      <c r="L176" s="156">
        <f t="shared" si="2"/>
        <v>2016</v>
      </c>
    </row>
    <row r="177" spans="8:12" x14ac:dyDescent="0.25">
      <c r="H177" s="237">
        <v>42639</v>
      </c>
      <c r="I177" s="156">
        <v>34517.040000000001</v>
      </c>
      <c r="J177" s="156">
        <v>32753.57</v>
      </c>
      <c r="K177" s="163">
        <v>33635.31</v>
      </c>
      <c r="L177" s="156">
        <f t="shared" si="2"/>
        <v>2016</v>
      </c>
    </row>
    <row r="178" spans="8:12" x14ac:dyDescent="0.25">
      <c r="H178" s="237">
        <v>42629</v>
      </c>
      <c r="I178" s="156">
        <v>35965.43</v>
      </c>
      <c r="J178" s="156">
        <v>32922.04</v>
      </c>
      <c r="K178" s="163">
        <v>34443.74</v>
      </c>
      <c r="L178" s="156">
        <f t="shared" si="2"/>
        <v>2016</v>
      </c>
    </row>
    <row r="179" spans="8:12" x14ac:dyDescent="0.25">
      <c r="H179" s="237">
        <v>42619</v>
      </c>
      <c r="I179" s="156">
        <v>35203.46</v>
      </c>
      <c r="J179" s="156">
        <v>33478.57</v>
      </c>
      <c r="K179" s="163">
        <v>34341.019999999997</v>
      </c>
      <c r="L179" s="156">
        <f t="shared" si="2"/>
        <v>2016</v>
      </c>
    </row>
    <row r="180" spans="8:12" x14ac:dyDescent="0.25">
      <c r="H180" s="237">
        <v>42609</v>
      </c>
      <c r="I180" s="156">
        <v>36868.870000000003</v>
      </c>
      <c r="J180" s="156">
        <v>34457.56</v>
      </c>
      <c r="K180" s="163">
        <v>35663.22</v>
      </c>
      <c r="L180" s="156">
        <f t="shared" si="2"/>
        <v>2016</v>
      </c>
    </row>
    <row r="181" spans="8:12" x14ac:dyDescent="0.25">
      <c r="H181" s="237">
        <v>42599</v>
      </c>
      <c r="I181" s="156">
        <v>38484.44</v>
      </c>
      <c r="J181" s="156">
        <v>35754.85</v>
      </c>
      <c r="K181" s="163">
        <v>37119.64</v>
      </c>
      <c r="L181" s="156">
        <f t="shared" si="2"/>
        <v>2016</v>
      </c>
    </row>
    <row r="182" spans="8:12" x14ac:dyDescent="0.25">
      <c r="H182" s="237">
        <v>42589</v>
      </c>
      <c r="I182" s="156">
        <v>38119.53</v>
      </c>
      <c r="J182" s="156">
        <v>36339.99</v>
      </c>
      <c r="K182" s="163">
        <v>37229.760000000002</v>
      </c>
      <c r="L182" s="156">
        <f t="shared" si="2"/>
        <v>2016</v>
      </c>
    </row>
    <row r="183" spans="8:12" x14ac:dyDescent="0.25">
      <c r="H183" s="237">
        <v>42579</v>
      </c>
      <c r="I183" s="156">
        <v>37536</v>
      </c>
      <c r="J183" s="156">
        <v>34455.96</v>
      </c>
      <c r="K183" s="163">
        <v>35995.980000000003</v>
      </c>
      <c r="L183" s="156">
        <f t="shared" si="2"/>
        <v>2016</v>
      </c>
    </row>
    <row r="184" spans="8:12" x14ac:dyDescent="0.25">
      <c r="H184" s="237">
        <v>42569</v>
      </c>
      <c r="I184" s="156">
        <v>35960.61</v>
      </c>
      <c r="J184" s="156">
        <v>34803.18</v>
      </c>
      <c r="K184" s="163">
        <v>35381.9</v>
      </c>
      <c r="L184" s="156">
        <f t="shared" si="2"/>
        <v>2016</v>
      </c>
    </row>
    <row r="185" spans="8:12" x14ac:dyDescent="0.25">
      <c r="H185" s="237">
        <v>42559</v>
      </c>
      <c r="I185" s="156">
        <v>35494.42</v>
      </c>
      <c r="J185" s="156">
        <v>31546.31</v>
      </c>
      <c r="K185" s="163">
        <v>33520.370000000003</v>
      </c>
      <c r="L185" s="156">
        <f t="shared" si="2"/>
        <v>2016</v>
      </c>
    </row>
    <row r="186" spans="8:12" x14ac:dyDescent="0.25">
      <c r="H186" s="237">
        <v>42549</v>
      </c>
      <c r="I186" s="156">
        <v>32456.18</v>
      </c>
      <c r="J186" s="156">
        <v>31102.31</v>
      </c>
      <c r="K186" s="163">
        <v>31779.24</v>
      </c>
      <c r="L186" s="156">
        <f t="shared" si="2"/>
        <v>2016</v>
      </c>
    </row>
    <row r="187" spans="8:12" x14ac:dyDescent="0.25">
      <c r="H187" s="181"/>
      <c r="I187" s="182"/>
      <c r="J187" s="182"/>
      <c r="K187" s="18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zoomScale="85" zoomScaleNormal="85" workbookViewId="0">
      <selection activeCell="O3" sqref="O3"/>
    </sheetView>
  </sheetViews>
  <sheetFormatPr defaultColWidth="10.28515625" defaultRowHeight="14.25" x14ac:dyDescent="0.2"/>
  <cols>
    <col min="1" max="1" width="18.28515625" style="242" customWidth="1"/>
    <col min="2" max="2" width="15.5703125" style="242" customWidth="1"/>
    <col min="3" max="3" width="28.140625" style="242" customWidth="1"/>
    <col min="4" max="4" width="20.5703125" style="242" customWidth="1"/>
    <col min="5" max="5" width="12.140625" style="242" customWidth="1"/>
    <col min="6" max="6" width="11.5703125" style="242" customWidth="1"/>
    <col min="7" max="7" width="0.5703125" style="242" customWidth="1"/>
    <col min="8" max="8" width="14.42578125" style="242" customWidth="1"/>
    <col min="9" max="9" width="22" style="242" customWidth="1"/>
    <col min="10" max="10" width="29.85546875" style="242" customWidth="1"/>
    <col min="11" max="11" width="10.42578125" style="242" bestFit="1" customWidth="1"/>
    <col min="12" max="12" width="0.5703125" style="242" customWidth="1"/>
    <col min="13" max="13" width="10.28515625" style="242"/>
    <col min="14" max="14" width="18.28515625" style="242" customWidth="1"/>
    <col min="15" max="15" width="29.5703125" style="242" customWidth="1"/>
    <col min="16" max="16" width="18" style="242" customWidth="1"/>
    <col min="17" max="17" width="30" style="242" customWidth="1"/>
    <col min="18" max="18" width="22.85546875" style="242" customWidth="1"/>
    <col min="19" max="19" width="10.85546875" style="242" customWidth="1"/>
    <col min="20" max="20" width="10" style="242" customWidth="1"/>
    <col min="21" max="21" width="12.28515625" style="242" customWidth="1"/>
    <col min="22" max="22" width="28.42578125" style="242" customWidth="1"/>
    <col min="23" max="23" width="14.42578125" style="242" bestFit="1" customWidth="1"/>
    <col min="24" max="26" width="10.28515625" style="242"/>
    <col min="27" max="27" width="18.85546875" style="242" customWidth="1"/>
    <col min="28" max="28" width="21.5703125" style="242" customWidth="1"/>
    <col min="29" max="29" width="20.28515625" style="242" customWidth="1"/>
    <col min="30" max="30" width="22.85546875" style="242" customWidth="1"/>
    <col min="31" max="31" width="19" style="242" customWidth="1"/>
    <col min="32" max="32" width="20.7109375" style="242" customWidth="1"/>
    <col min="33" max="33" width="15.7109375" style="242" bestFit="1" customWidth="1"/>
    <col min="34" max="34" width="13.7109375" style="242" customWidth="1"/>
    <col min="35" max="35" width="16.42578125" style="242" customWidth="1"/>
    <col min="36" max="36" width="28.7109375" style="242" customWidth="1"/>
    <col min="37" max="16384" width="10.28515625" style="242"/>
  </cols>
  <sheetData>
    <row r="1" spans="1:40" x14ac:dyDescent="0.2">
      <c r="A1" s="336" t="s">
        <v>392</v>
      </c>
      <c r="B1" s="336"/>
      <c r="C1" s="336"/>
      <c r="D1" s="336"/>
      <c r="E1" s="336"/>
      <c r="F1" s="336"/>
      <c r="I1" s="336" t="s">
        <v>393</v>
      </c>
      <c r="J1" s="336"/>
      <c r="K1" s="336"/>
      <c r="M1" s="336"/>
      <c r="N1" s="243" t="s">
        <v>394</v>
      </c>
      <c r="O1" s="243"/>
      <c r="P1" s="243"/>
      <c r="Z1" s="336"/>
      <c r="AA1" s="337" t="s">
        <v>395</v>
      </c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244"/>
    </row>
    <row r="2" spans="1:40" x14ac:dyDescent="0.2">
      <c r="A2" s="333" t="s">
        <v>396</v>
      </c>
      <c r="B2" s="333"/>
      <c r="C2" s="333"/>
      <c r="D2" s="333"/>
      <c r="E2" s="333"/>
      <c r="F2" s="333"/>
      <c r="I2" s="333" t="s">
        <v>238</v>
      </c>
      <c r="J2" s="333"/>
      <c r="K2" s="333"/>
      <c r="M2" s="336"/>
      <c r="Z2" s="336"/>
      <c r="AN2" s="244"/>
    </row>
    <row r="3" spans="1:40" ht="15" x14ac:dyDescent="0.25">
      <c r="A3" s="245" t="s">
        <v>397</v>
      </c>
      <c r="B3" s="245" t="s">
        <v>295</v>
      </c>
      <c r="C3" s="245" t="s">
        <v>230</v>
      </c>
      <c r="D3" s="245" t="s">
        <v>231</v>
      </c>
      <c r="E3" s="245" t="s">
        <v>232</v>
      </c>
      <c r="F3" s="245" t="s">
        <v>225</v>
      </c>
      <c r="I3" s="245" t="s">
        <v>294</v>
      </c>
      <c r="J3" s="245" t="s">
        <v>398</v>
      </c>
      <c r="K3" s="245" t="s">
        <v>118</v>
      </c>
      <c r="M3" s="336"/>
      <c r="N3" s="242" t="s">
        <v>399</v>
      </c>
      <c r="O3" s="246">
        <v>298.5</v>
      </c>
      <c r="P3" s="242" t="s">
        <v>400</v>
      </c>
      <c r="Z3" s="336"/>
      <c r="AA3" s="338" t="s">
        <v>401</v>
      </c>
      <c r="AB3" s="338"/>
      <c r="AD3" s="339" t="s">
        <v>402</v>
      </c>
      <c r="AE3" s="340"/>
      <c r="AF3" s="340"/>
      <c r="AG3" s="340"/>
      <c r="AH3" s="340"/>
      <c r="AN3" s="244"/>
    </row>
    <row r="4" spans="1:40" x14ac:dyDescent="0.2">
      <c r="A4" s="245" t="s">
        <v>296</v>
      </c>
      <c r="B4" s="245">
        <v>7.23</v>
      </c>
      <c r="C4" s="245">
        <v>5.65</v>
      </c>
      <c r="D4" s="245">
        <v>4.78</v>
      </c>
      <c r="E4" s="245">
        <v>0.89</v>
      </c>
      <c r="F4" s="245">
        <f>SUM('Students worksheet'!B4:E4)</f>
        <v>18.55</v>
      </c>
      <c r="I4" s="245" t="s">
        <v>296</v>
      </c>
      <c r="J4" s="245">
        <v>0.65</v>
      </c>
      <c r="K4" s="245">
        <v>0.21</v>
      </c>
      <c r="M4" s="336"/>
      <c r="Z4" s="336"/>
      <c r="AA4" s="245" t="s">
        <v>179</v>
      </c>
      <c r="AB4" s="245" t="s">
        <v>403</v>
      </c>
      <c r="AD4" s="245" t="s">
        <v>404</v>
      </c>
      <c r="AE4" s="245" t="s">
        <v>179</v>
      </c>
      <c r="AF4" s="245" t="s">
        <v>143</v>
      </c>
      <c r="AG4" s="245" t="s">
        <v>180</v>
      </c>
      <c r="AH4" s="245" t="s">
        <v>405</v>
      </c>
      <c r="AJ4" s="242">
        <v>0.9</v>
      </c>
      <c r="AK4" s="242" t="s">
        <v>406</v>
      </c>
      <c r="AN4" s="244"/>
    </row>
    <row r="5" spans="1:40" ht="15" x14ac:dyDescent="0.25">
      <c r="A5" s="245" t="s">
        <v>297</v>
      </c>
      <c r="B5" s="247">
        <v>0</v>
      </c>
      <c r="C5" s="247">
        <v>0</v>
      </c>
      <c r="D5" s="245">
        <v>1.69</v>
      </c>
      <c r="E5" s="245">
        <v>1.68</v>
      </c>
      <c r="F5" s="245">
        <f>SUM('Students worksheet'!B5:E5)</f>
        <v>3.37</v>
      </c>
      <c r="I5" s="245" t="s">
        <v>297</v>
      </c>
      <c r="J5" s="247">
        <v>2.4500000000000002</v>
      </c>
      <c r="K5" s="245">
        <v>0.78</v>
      </c>
      <c r="M5" s="336"/>
      <c r="N5" s="338" t="s">
        <v>407</v>
      </c>
      <c r="O5" s="338"/>
      <c r="Z5" s="336"/>
      <c r="AA5" s="245" t="s">
        <v>143</v>
      </c>
      <c r="AB5" s="245">
        <v>90.504451038575667</v>
      </c>
      <c r="AD5" s="245" t="s">
        <v>229</v>
      </c>
      <c r="AE5" s="245">
        <v>24.749483944954129</v>
      </c>
      <c r="AF5" s="245" t="s">
        <v>234</v>
      </c>
      <c r="AG5" s="245" t="s">
        <v>234</v>
      </c>
      <c r="AH5" s="245">
        <v>5.1005160550458708</v>
      </c>
      <c r="AN5" s="244"/>
    </row>
    <row r="6" spans="1:40" x14ac:dyDescent="0.2">
      <c r="A6" s="245" t="s">
        <v>298</v>
      </c>
      <c r="B6" s="245">
        <v>1.49</v>
      </c>
      <c r="C6" s="247">
        <v>0</v>
      </c>
      <c r="D6" s="245">
        <v>0.02</v>
      </c>
      <c r="E6" s="245">
        <v>0.05</v>
      </c>
      <c r="F6" s="245">
        <f>SUM('Students worksheet'!B6:E6)</f>
        <v>1.56</v>
      </c>
      <c r="I6" s="245" t="s">
        <v>408</v>
      </c>
      <c r="J6" s="245">
        <v>0.03</v>
      </c>
      <c r="K6" s="245">
        <v>0.01</v>
      </c>
      <c r="M6" s="336"/>
      <c r="N6" s="245" t="s">
        <v>409</v>
      </c>
      <c r="O6" s="248">
        <f>O3/B34</f>
        <v>99500000</v>
      </c>
      <c r="Z6" s="336"/>
      <c r="AA6" s="245" t="s">
        <v>235</v>
      </c>
      <c r="AB6" s="245">
        <v>69.871794871794876</v>
      </c>
      <c r="AD6" s="245" t="s">
        <v>327</v>
      </c>
      <c r="AE6" s="245">
        <v>12.739408895375632</v>
      </c>
      <c r="AF6" s="247"/>
      <c r="AG6" s="245">
        <v>2.2547626363496699E-2</v>
      </c>
      <c r="AH6" s="245"/>
      <c r="AN6" s="244"/>
    </row>
    <row r="7" spans="1:40" x14ac:dyDescent="0.2">
      <c r="A7" s="245" t="s">
        <v>299</v>
      </c>
      <c r="B7" s="247">
        <v>0</v>
      </c>
      <c r="C7" s="245">
        <v>0.01</v>
      </c>
      <c r="D7" s="245">
        <v>0.21</v>
      </c>
      <c r="E7" s="247">
        <v>0</v>
      </c>
      <c r="F7" s="245">
        <f>SUM('Students worksheet'!B7:E7)</f>
        <v>0.22</v>
      </c>
      <c r="I7" s="245" t="s">
        <v>225</v>
      </c>
      <c r="J7" s="247">
        <v>3.13</v>
      </c>
      <c r="K7" s="245">
        <v>100</v>
      </c>
      <c r="M7" s="336"/>
      <c r="N7" s="245" t="s">
        <v>410</v>
      </c>
      <c r="O7" s="248">
        <f>O3/B35</f>
        <v>1990000.0000000002</v>
      </c>
      <c r="Z7" s="336"/>
      <c r="AA7" s="245" t="s">
        <v>180</v>
      </c>
      <c r="AB7" s="245">
        <v>59.090909090909093</v>
      </c>
      <c r="AD7" s="249" t="s">
        <v>231</v>
      </c>
      <c r="AE7" s="245">
        <v>6.4313829850746282</v>
      </c>
      <c r="AF7" s="245">
        <v>2.2738571641791046</v>
      </c>
      <c r="AG7" s="245">
        <v>2.6909552238805975E-2</v>
      </c>
      <c r="AH7" s="245">
        <v>0.28255029850746272</v>
      </c>
      <c r="AN7" s="244"/>
    </row>
    <row r="8" spans="1:40" x14ac:dyDescent="0.2">
      <c r="A8" s="245" t="s">
        <v>225</v>
      </c>
      <c r="B8" s="245">
        <f>SUM(B4:B7)</f>
        <v>8.7200000000000006</v>
      </c>
      <c r="C8" s="245">
        <f>SUM(C4:C7)</f>
        <v>5.66</v>
      </c>
      <c r="D8" s="245">
        <f>SUM(D4:D7)</f>
        <v>6.7</v>
      </c>
      <c r="E8" s="245">
        <f>SUM(E4:E7)</f>
        <v>2.6199999999999997</v>
      </c>
      <c r="F8" s="245">
        <f>SUM('Students worksheet'!B8:E8)</f>
        <v>23.700000000000003</v>
      </c>
      <c r="M8" s="336"/>
      <c r="N8" s="245" t="s">
        <v>411</v>
      </c>
      <c r="O8" s="248">
        <f>O3/B38</f>
        <v>298.64932466233114</v>
      </c>
      <c r="Z8" s="336"/>
      <c r="AA8" s="245" t="s">
        <v>408</v>
      </c>
      <c r="AB8" s="245">
        <v>64.481351981351992</v>
      </c>
      <c r="AD8" s="249" t="s">
        <v>232</v>
      </c>
      <c r="AE8" s="245">
        <v>1.1965064885496186</v>
      </c>
      <c r="AF8" s="245">
        <v>2.2585740458015273</v>
      </c>
      <c r="AG8" s="245">
        <v>6.721946564885499E-2</v>
      </c>
      <c r="AH8" s="245"/>
      <c r="AN8" s="244"/>
    </row>
    <row r="9" spans="1:40" x14ac:dyDescent="0.2">
      <c r="I9" s="333" t="s">
        <v>412</v>
      </c>
      <c r="J9" s="333"/>
      <c r="M9" s="336"/>
      <c r="R9" s="341" t="s">
        <v>402</v>
      </c>
      <c r="S9" s="341"/>
      <c r="T9" s="341"/>
      <c r="U9" s="341"/>
      <c r="Z9" s="336"/>
      <c r="AD9" s="250" t="s">
        <v>242</v>
      </c>
      <c r="AE9" s="245">
        <v>1.3080270000000001</v>
      </c>
      <c r="AF9" s="245">
        <v>4.8583860000000012</v>
      </c>
      <c r="AG9" s="245"/>
      <c r="AH9" s="245">
        <v>6.2287000000000009E-2</v>
      </c>
      <c r="AN9" s="244"/>
    </row>
    <row r="10" spans="1:40" x14ac:dyDescent="0.2">
      <c r="A10" s="333" t="s">
        <v>293</v>
      </c>
      <c r="B10" s="333"/>
      <c r="C10" s="333"/>
      <c r="D10" s="333"/>
      <c r="E10" s="333"/>
      <c r="I10" s="245" t="s">
        <v>294</v>
      </c>
      <c r="J10" s="245" t="s">
        <v>413</v>
      </c>
      <c r="M10" s="336"/>
      <c r="N10" s="245" t="s">
        <v>404</v>
      </c>
      <c r="O10" s="245" t="s">
        <v>414</v>
      </c>
      <c r="P10" s="245" t="s">
        <v>415</v>
      </c>
      <c r="Q10" s="245" t="s">
        <v>416</v>
      </c>
      <c r="R10" s="245" t="s">
        <v>179</v>
      </c>
      <c r="S10" s="245" t="s">
        <v>143</v>
      </c>
      <c r="T10" s="245" t="s">
        <v>180</v>
      </c>
      <c r="U10" s="245" t="s">
        <v>405</v>
      </c>
      <c r="V10" s="245" t="s">
        <v>417</v>
      </c>
      <c r="Z10" s="336"/>
      <c r="AN10" s="244"/>
    </row>
    <row r="11" spans="1:40" ht="15" x14ac:dyDescent="0.25">
      <c r="A11" s="245" t="s">
        <v>294</v>
      </c>
      <c r="B11" s="245" t="str">
        <f>'Students worksheet'!B3</f>
        <v xml:space="preserve">Mining </v>
      </c>
      <c r="C11" s="245" t="str">
        <f>'Students worksheet'!C3</f>
        <v>Concentrate</v>
      </c>
      <c r="D11" s="245" t="str">
        <f>'Students worksheet'!D3</f>
        <v>Smelting</v>
      </c>
      <c r="E11" s="245" t="str">
        <f>'Students worksheet'!E3</f>
        <v>Refining</v>
      </c>
      <c r="I11" s="245" t="s">
        <v>296</v>
      </c>
      <c r="J11" s="245"/>
      <c r="M11" s="336"/>
      <c r="N11" s="245" t="s">
        <v>229</v>
      </c>
      <c r="O11" s="245" t="s">
        <v>247</v>
      </c>
      <c r="P11" s="248">
        <f>O6</f>
        <v>99500000</v>
      </c>
      <c r="Q11" s="245">
        <f>P11*B19/1000000</f>
        <v>29.85</v>
      </c>
      <c r="R11" s="245">
        <f>$Q$11*B$12</f>
        <v>24.749483944954129</v>
      </c>
      <c r="S11" s="247" t="s">
        <v>234</v>
      </c>
      <c r="T11" s="247" t="s">
        <v>234</v>
      </c>
      <c r="U11" s="245">
        <f>Q11*B14</f>
        <v>5.1005160550458708</v>
      </c>
      <c r="V11" s="251">
        <f>Q11/$O$3</f>
        <v>0.1</v>
      </c>
      <c r="Z11" s="336"/>
      <c r="AD11" s="342" t="s">
        <v>418</v>
      </c>
      <c r="AE11" s="342"/>
      <c r="AF11" s="342"/>
      <c r="AG11" s="342"/>
      <c r="AH11" s="342"/>
      <c r="AN11" s="244"/>
    </row>
    <row r="12" spans="1:40" x14ac:dyDescent="0.2">
      <c r="A12" s="245" t="s">
        <v>296</v>
      </c>
      <c r="B12" s="252">
        <f>B4/B$8</f>
        <v>0.82912844036697242</v>
      </c>
      <c r="C12" s="252">
        <f>C4/C$8</f>
        <v>0.99823321554770317</v>
      </c>
      <c r="D12" s="252">
        <f>D4/D$8</f>
        <v>0.71343283582089556</v>
      </c>
      <c r="E12" s="252">
        <f>E4/E$8</f>
        <v>0.33969465648854968</v>
      </c>
      <c r="I12" s="245" t="s">
        <v>297</v>
      </c>
      <c r="J12" s="245">
        <f>305/3.37</f>
        <v>90.504451038575667</v>
      </c>
      <c r="M12" s="336"/>
      <c r="N12" s="245" t="s">
        <v>327</v>
      </c>
      <c r="O12" s="245" t="s">
        <v>247</v>
      </c>
      <c r="P12" s="248">
        <f>(P11-(P11/6.9))</f>
        <v>85079710.144927531</v>
      </c>
      <c r="Q12" s="245">
        <f>P12*B20/1000000</f>
        <v>12.76195652173913</v>
      </c>
      <c r="R12" s="245">
        <f>Q12*C12</f>
        <v>12.739408895375632</v>
      </c>
      <c r="S12" s="245"/>
      <c r="T12" s="245">
        <f>Q12*C15</f>
        <v>2.2547626363496696E-2</v>
      </c>
      <c r="U12" s="245"/>
      <c r="V12" s="245">
        <f>Q12/$O$3</f>
        <v>4.2753623188405795E-2</v>
      </c>
      <c r="Z12" s="336"/>
      <c r="AD12" s="245" t="s">
        <v>404</v>
      </c>
      <c r="AE12" s="245" t="s">
        <v>179</v>
      </c>
      <c r="AF12" s="245" t="s">
        <v>143</v>
      </c>
      <c r="AG12" s="245" t="s">
        <v>180</v>
      </c>
      <c r="AH12" s="245" t="s">
        <v>405</v>
      </c>
      <c r="AI12" s="245" t="s">
        <v>225</v>
      </c>
      <c r="AJ12" s="245" t="s">
        <v>419</v>
      </c>
      <c r="AN12" s="244"/>
    </row>
    <row r="13" spans="1:40" ht="14.25" customHeight="1" x14ac:dyDescent="0.2">
      <c r="A13" s="245" t="s">
        <v>297</v>
      </c>
      <c r="B13" s="252">
        <f t="shared" ref="B13:E15" si="0">B5/B$8</f>
        <v>0</v>
      </c>
      <c r="C13" s="252">
        <f t="shared" si="0"/>
        <v>0</v>
      </c>
      <c r="D13" s="252">
        <f t="shared" si="0"/>
        <v>0.25223880597014925</v>
      </c>
      <c r="E13" s="252">
        <f t="shared" si="0"/>
        <v>0.6412213740458016</v>
      </c>
      <c r="I13" s="245" t="s">
        <v>408</v>
      </c>
      <c r="J13" s="245">
        <f>(C29+C30)/2</f>
        <v>64.481351981351992</v>
      </c>
      <c r="M13" s="336"/>
      <c r="N13" s="245" t="s">
        <v>231</v>
      </c>
      <c r="O13" s="245" t="s">
        <v>420</v>
      </c>
      <c r="P13" s="248">
        <f>O7</f>
        <v>1990000.0000000002</v>
      </c>
      <c r="Q13" s="249">
        <f>P13*B21/1000000</f>
        <v>9.0147000000000013</v>
      </c>
      <c r="R13" s="249">
        <f>Q13*D12</f>
        <v>6.4313829850746282</v>
      </c>
      <c r="S13" s="249">
        <f>Q13*D13</f>
        <v>2.2738571641791046</v>
      </c>
      <c r="T13" s="249">
        <f>D15*Q13</f>
        <v>0.28255029850746272</v>
      </c>
      <c r="U13" s="249">
        <f>Q13*D14</f>
        <v>2.6909552238805975E-2</v>
      </c>
      <c r="V13" s="245">
        <f>Q13/$O$3</f>
        <v>3.0200000000000005E-2</v>
      </c>
      <c r="Z13" s="336"/>
      <c r="AD13" s="245" t="s">
        <v>229</v>
      </c>
      <c r="AE13" s="253"/>
      <c r="AF13" s="245">
        <v>0</v>
      </c>
      <c r="AG13" s="245">
        <v>0</v>
      </c>
      <c r="AH13" s="245">
        <f>(AH5*$AB$6*10^6)/1000000</f>
        <v>356.38221153846149</v>
      </c>
      <c r="AI13" s="245">
        <f>SUM(AE13:AH13)</f>
        <v>356.38221153846149</v>
      </c>
      <c r="AJ13" s="245">
        <f>AI13/$O$3</f>
        <v>1.1939102564102562</v>
      </c>
      <c r="AN13" s="244"/>
    </row>
    <row r="14" spans="1:40" x14ac:dyDescent="0.2">
      <c r="A14" s="245" t="s">
        <v>298</v>
      </c>
      <c r="B14" s="252">
        <f>B6/B$8</f>
        <v>0.1708715596330275</v>
      </c>
      <c r="C14" s="252">
        <f t="shared" si="0"/>
        <v>0</v>
      </c>
      <c r="D14" s="252">
        <f t="shared" si="0"/>
        <v>2.9850746268656717E-3</v>
      </c>
      <c r="E14" s="252">
        <f t="shared" si="0"/>
        <v>1.9083969465648859E-2</v>
      </c>
      <c r="M14" s="336"/>
      <c r="N14" s="245" t="s">
        <v>232</v>
      </c>
      <c r="O14" s="245" t="s">
        <v>420</v>
      </c>
      <c r="P14" s="248">
        <f>O7</f>
        <v>1990000.0000000002</v>
      </c>
      <c r="Q14" s="249">
        <f>P14*B22/1000000</f>
        <v>3.5223000000000004</v>
      </c>
      <c r="R14" s="249">
        <f>Q14*E12</f>
        <v>1.1965064885496186</v>
      </c>
      <c r="S14" s="249">
        <f>Q14*E13</f>
        <v>2.2585740458015273</v>
      </c>
      <c r="T14" s="249">
        <f>E15*Q14</f>
        <v>0</v>
      </c>
      <c r="U14" s="249">
        <f>Q14*E14</f>
        <v>6.721946564885499E-2</v>
      </c>
      <c r="V14" s="245">
        <f>Q14/$O$3</f>
        <v>1.1800000000000001E-2</v>
      </c>
      <c r="Z14" s="336"/>
      <c r="AA14" s="254"/>
      <c r="AD14" s="245" t="s">
        <v>327</v>
      </c>
      <c r="AE14" s="253"/>
      <c r="AF14" s="247">
        <v>0</v>
      </c>
      <c r="AG14" s="245">
        <f>(AG6*$AB$7*10^6)/1000000</f>
        <v>1.3323597396611686</v>
      </c>
      <c r="AH14" s="247">
        <v>0</v>
      </c>
      <c r="AI14" s="245">
        <f>SUM(AE14:AH14)</f>
        <v>1.3323597396611686</v>
      </c>
      <c r="AJ14" s="255">
        <f>AI14/$O$3</f>
        <v>4.4635167157828096E-3</v>
      </c>
      <c r="AN14" s="244"/>
    </row>
    <row r="15" spans="1:40" x14ac:dyDescent="0.2">
      <c r="A15" s="245" t="s">
        <v>299</v>
      </c>
      <c r="B15" s="252">
        <f t="shared" si="0"/>
        <v>0</v>
      </c>
      <c r="C15" s="252">
        <f t="shared" si="0"/>
        <v>1.7667844522968198E-3</v>
      </c>
      <c r="D15" s="252">
        <f t="shared" si="0"/>
        <v>3.134328358208955E-2</v>
      </c>
      <c r="E15" s="252">
        <f t="shared" si="0"/>
        <v>0</v>
      </c>
      <c r="F15" s="256"/>
      <c r="M15" s="336"/>
      <c r="N15" s="257" t="s">
        <v>242</v>
      </c>
      <c r="O15" s="257" t="s">
        <v>421</v>
      </c>
      <c r="P15" s="258">
        <f>O7</f>
        <v>1990000.0000000002</v>
      </c>
      <c r="Q15" s="257">
        <f>P15*J7/1000000</f>
        <v>6.2287000000000008</v>
      </c>
      <c r="R15" s="250">
        <f>Q15*K4</f>
        <v>1.3080270000000001</v>
      </c>
      <c r="S15" s="250">
        <f>Q15*K5</f>
        <v>4.8583860000000012</v>
      </c>
      <c r="T15" s="250"/>
      <c r="U15" s="250">
        <f>Q15*K6</f>
        <v>6.2287000000000009E-2</v>
      </c>
      <c r="V15" s="245">
        <f>Q15/$O$3</f>
        <v>2.0866666666666669E-2</v>
      </c>
      <c r="Z15" s="336"/>
      <c r="AD15" s="245" t="s">
        <v>231</v>
      </c>
      <c r="AE15" s="253"/>
      <c r="AF15" s="245">
        <f>(AF7*10^6*$AB$5)/1000000</f>
        <v>205.79419438416227</v>
      </c>
      <c r="AG15" s="245">
        <f>(AG7*$AB$7*10^6)/1000000</f>
        <v>1.5901099050203531</v>
      </c>
      <c r="AH15" s="245">
        <f>(AH7*$AB$6*10^6)/1000000</f>
        <v>19.742296498277845</v>
      </c>
      <c r="AI15" s="245">
        <f>SUM(AE15:AH15)</f>
        <v>227.12660078746046</v>
      </c>
      <c r="AJ15" s="245">
        <f>AI15/$O$3</f>
        <v>0.76089313496636668</v>
      </c>
      <c r="AN15" s="244"/>
    </row>
    <row r="16" spans="1:40" x14ac:dyDescent="0.2">
      <c r="M16" s="336"/>
      <c r="Q16" s="259"/>
      <c r="R16" s="259"/>
      <c r="Z16" s="336"/>
      <c r="AD16" s="245" t="s">
        <v>232</v>
      </c>
      <c r="AE16" s="253"/>
      <c r="AF16" s="245">
        <f>(AF8*10^6*$AB$5)/1000000</f>
        <v>204.41100414524209</v>
      </c>
      <c r="AG16" s="245">
        <f>(AG8*$AB$7*10^6)/1000000</f>
        <v>3.9720593337959769</v>
      </c>
      <c r="AH16" s="247">
        <v>0</v>
      </c>
      <c r="AI16" s="245">
        <f>SUM(AE16:AH16)</f>
        <v>208.38306347903807</v>
      </c>
      <c r="AJ16" s="245">
        <f>AI16/$O$3</f>
        <v>0.69810071517265682</v>
      </c>
      <c r="AN16" s="244"/>
    </row>
    <row r="17" spans="1:40" x14ac:dyDescent="0.2">
      <c r="A17" s="333" t="s">
        <v>300</v>
      </c>
      <c r="B17" s="333"/>
      <c r="C17" s="333"/>
      <c r="M17" s="336"/>
      <c r="Q17" s="260"/>
      <c r="Z17" s="336"/>
      <c r="AD17" s="245" t="s">
        <v>242</v>
      </c>
      <c r="AE17" s="253"/>
      <c r="AF17" s="245">
        <f>(AF9*10^6*$AB$5)/1000000</f>
        <v>439.70555786350155</v>
      </c>
      <c r="AG17" s="247">
        <v>0</v>
      </c>
      <c r="AH17" s="245">
        <f>(AH9*AB6*10^6)/1000000</f>
        <v>4.3521044871794885</v>
      </c>
      <c r="AI17" s="245">
        <f>SUM(AE17:AH17)</f>
        <v>444.05766235068103</v>
      </c>
      <c r="AJ17" s="245">
        <f>AI17/$O$3</f>
        <v>1.4876303596337723</v>
      </c>
      <c r="AN17" s="244"/>
    </row>
    <row r="18" spans="1:40" x14ac:dyDescent="0.2">
      <c r="A18" s="245"/>
      <c r="B18" s="245" t="s">
        <v>238</v>
      </c>
      <c r="C18" s="245" t="s">
        <v>43</v>
      </c>
      <c r="M18" s="336"/>
      <c r="Z18" s="336"/>
      <c r="AN18" s="244"/>
    </row>
    <row r="19" spans="1:40" ht="15" x14ac:dyDescent="0.25">
      <c r="A19" s="245" t="s">
        <v>229</v>
      </c>
      <c r="B19" s="245">
        <v>0.3</v>
      </c>
      <c r="C19" s="245" t="s">
        <v>239</v>
      </c>
      <c r="J19" s="256"/>
      <c r="M19" s="336"/>
      <c r="Z19" s="336"/>
      <c r="AA19" s="332" t="s">
        <v>422</v>
      </c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N19" s="244"/>
    </row>
    <row r="20" spans="1:40" ht="15" x14ac:dyDescent="0.25">
      <c r="A20" s="245" t="s">
        <v>230</v>
      </c>
      <c r="B20" s="245">
        <v>0.15</v>
      </c>
      <c r="C20" s="245" t="s">
        <v>240</v>
      </c>
      <c r="J20" s="261"/>
      <c r="M20" s="336"/>
      <c r="N20" s="332" t="s">
        <v>423</v>
      </c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6"/>
      <c r="AN20" s="244"/>
    </row>
    <row r="21" spans="1:40" x14ac:dyDescent="0.2">
      <c r="A21" s="245" t="s">
        <v>231</v>
      </c>
      <c r="B21" s="245">
        <v>4.53</v>
      </c>
      <c r="C21" s="245" t="s">
        <v>241</v>
      </c>
      <c r="M21" s="336"/>
      <c r="N21" s="245"/>
      <c r="O21" s="245" t="s">
        <v>179</v>
      </c>
      <c r="P21" s="245" t="s">
        <v>143</v>
      </c>
      <c r="Q21" s="245" t="s">
        <v>180</v>
      </c>
      <c r="R21" s="245" t="s">
        <v>405</v>
      </c>
      <c r="Z21" s="336"/>
      <c r="AJ21" s="262"/>
      <c r="AN21" s="244"/>
    </row>
    <row r="22" spans="1:40" x14ac:dyDescent="0.2">
      <c r="A22" s="245" t="s">
        <v>232</v>
      </c>
      <c r="B22" s="245">
        <v>1.77</v>
      </c>
      <c r="C22" s="245" t="s">
        <v>241</v>
      </c>
      <c r="M22" s="336"/>
      <c r="N22" s="245" t="s">
        <v>229</v>
      </c>
      <c r="O22" s="245">
        <f>R11</f>
        <v>24.749483944954129</v>
      </c>
      <c r="P22" s="245" t="str">
        <f t="shared" ref="P22:R26" si="1">S11</f>
        <v>-</v>
      </c>
      <c r="Q22" s="245" t="str">
        <f t="shared" si="1"/>
        <v>-</v>
      </c>
      <c r="R22" s="245">
        <f t="shared" si="1"/>
        <v>5.1005160550458708</v>
      </c>
      <c r="Z22" s="336"/>
      <c r="AJ22" s="262"/>
      <c r="AN22" s="244"/>
    </row>
    <row r="23" spans="1:40" x14ac:dyDescent="0.2">
      <c r="M23" s="336"/>
      <c r="N23" s="245" t="s">
        <v>424</v>
      </c>
      <c r="O23" s="245">
        <f>R12</f>
        <v>12.739408895375632</v>
      </c>
      <c r="P23" s="245">
        <f t="shared" si="1"/>
        <v>0</v>
      </c>
      <c r="Q23" s="245">
        <f t="shared" si="1"/>
        <v>2.2547626363496696E-2</v>
      </c>
      <c r="R23" s="245">
        <f t="shared" si="1"/>
        <v>0</v>
      </c>
      <c r="Z23" s="336"/>
      <c r="AJ23" s="262"/>
      <c r="AN23" s="244"/>
    </row>
    <row r="24" spans="1:40" x14ac:dyDescent="0.2">
      <c r="M24" s="336"/>
      <c r="N24" s="245" t="s">
        <v>231</v>
      </c>
      <c r="O24" s="245">
        <f>R13</f>
        <v>6.4313829850746282</v>
      </c>
      <c r="P24" s="245">
        <f t="shared" si="1"/>
        <v>2.2738571641791046</v>
      </c>
      <c r="Q24" s="245">
        <f t="shared" si="1"/>
        <v>0.28255029850746272</v>
      </c>
      <c r="R24" s="245">
        <f t="shared" si="1"/>
        <v>2.6909552238805975E-2</v>
      </c>
      <c r="Z24" s="336"/>
      <c r="AJ24" s="262"/>
      <c r="AN24" s="244"/>
    </row>
    <row r="25" spans="1:40" x14ac:dyDescent="0.2">
      <c r="A25" s="333" t="s">
        <v>425</v>
      </c>
      <c r="B25" s="333"/>
      <c r="C25" s="333"/>
      <c r="M25" s="336"/>
      <c r="N25" s="245" t="s">
        <v>232</v>
      </c>
      <c r="O25" s="245">
        <f>R14</f>
        <v>1.1965064885496186</v>
      </c>
      <c r="P25" s="245">
        <f t="shared" si="1"/>
        <v>2.2585740458015273</v>
      </c>
      <c r="Q25" s="245">
        <f t="shared" si="1"/>
        <v>0</v>
      </c>
      <c r="R25" s="245">
        <f t="shared" si="1"/>
        <v>6.721946564885499E-2</v>
      </c>
      <c r="Z25" s="336"/>
      <c r="AN25" s="244"/>
    </row>
    <row r="26" spans="1:40" x14ac:dyDescent="0.2">
      <c r="A26" s="245"/>
      <c r="B26" s="245" t="s">
        <v>426</v>
      </c>
      <c r="C26" s="245" t="s">
        <v>413</v>
      </c>
      <c r="M26" s="336"/>
      <c r="N26" s="245" t="s">
        <v>242</v>
      </c>
      <c r="O26" s="245">
        <f>R15</f>
        <v>1.3080270000000001</v>
      </c>
      <c r="P26" s="245">
        <f t="shared" si="1"/>
        <v>4.8583860000000012</v>
      </c>
      <c r="Q26" s="245">
        <f t="shared" si="1"/>
        <v>0</v>
      </c>
      <c r="R26" s="245">
        <f t="shared" si="1"/>
        <v>6.2287000000000009E-2</v>
      </c>
      <c r="Z26" s="336"/>
      <c r="AN26" s="244"/>
    </row>
    <row r="27" spans="1:40" x14ac:dyDescent="0.2">
      <c r="A27" s="245" t="s">
        <v>179</v>
      </c>
      <c r="B27" s="247" t="s">
        <v>234</v>
      </c>
      <c r="C27" s="245"/>
      <c r="M27" s="336"/>
      <c r="Z27" s="336"/>
      <c r="AN27" s="244"/>
    </row>
    <row r="28" spans="1:40" x14ac:dyDescent="0.2">
      <c r="A28" s="245" t="s">
        <v>143</v>
      </c>
      <c r="B28" s="245">
        <v>305000</v>
      </c>
      <c r="C28" s="245">
        <f>305/3.37</f>
        <v>90.504451038575667</v>
      </c>
      <c r="M28" s="336"/>
      <c r="Z28" s="336"/>
      <c r="AN28" s="244"/>
    </row>
    <row r="29" spans="1:40" x14ac:dyDescent="0.2">
      <c r="A29" s="245" t="s">
        <v>235</v>
      </c>
      <c r="B29" s="245">
        <v>109000</v>
      </c>
      <c r="C29" s="245">
        <f>109/1.56</f>
        <v>69.871794871794876</v>
      </c>
      <c r="M29" s="336"/>
      <c r="Z29" s="336"/>
      <c r="AN29" s="244"/>
    </row>
    <row r="30" spans="1:40" x14ac:dyDescent="0.2">
      <c r="A30" s="245" t="s">
        <v>180</v>
      </c>
      <c r="B30" s="245">
        <v>13000</v>
      </c>
      <c r="C30" s="245">
        <f>13/0.22</f>
        <v>59.090909090909093</v>
      </c>
      <c r="M30" s="336"/>
      <c r="Z30" s="336"/>
      <c r="AN30" s="244"/>
    </row>
    <row r="31" spans="1:40" x14ac:dyDescent="0.2">
      <c r="M31" s="336"/>
      <c r="Z31" s="336"/>
      <c r="AN31" s="244"/>
    </row>
    <row r="32" spans="1:40" x14ac:dyDescent="0.2">
      <c r="A32" s="334" t="s">
        <v>427</v>
      </c>
      <c r="B32" s="334"/>
      <c r="C32" s="334"/>
      <c r="M32" s="336"/>
      <c r="Z32" s="336"/>
      <c r="AN32" s="244"/>
    </row>
    <row r="33" spans="1:40" x14ac:dyDescent="0.2">
      <c r="A33" s="245" t="s">
        <v>245</v>
      </c>
      <c r="B33" s="245" t="s">
        <v>246</v>
      </c>
      <c r="M33" s="336"/>
      <c r="Z33" s="336"/>
      <c r="AN33" s="244"/>
    </row>
    <row r="34" spans="1:40" x14ac:dyDescent="0.2">
      <c r="A34" s="245" t="s">
        <v>247</v>
      </c>
      <c r="B34" s="263">
        <v>3.0000000000000001E-6</v>
      </c>
      <c r="M34" s="336"/>
      <c r="Z34" s="336"/>
      <c r="AN34" s="244"/>
    </row>
    <row r="35" spans="1:40" x14ac:dyDescent="0.2">
      <c r="A35" s="245" t="s">
        <v>248</v>
      </c>
      <c r="B35" s="252">
        <v>1.4999999999999999E-4</v>
      </c>
      <c r="M35" s="336"/>
      <c r="Z35" s="336"/>
      <c r="AN35" s="244"/>
    </row>
    <row r="36" spans="1:40" x14ac:dyDescent="0.2">
      <c r="A36" s="245" t="s">
        <v>249</v>
      </c>
      <c r="B36" s="252">
        <v>2E-3</v>
      </c>
      <c r="M36" s="336"/>
      <c r="Z36" s="336"/>
      <c r="AN36" s="244"/>
    </row>
    <row r="37" spans="1:40" x14ac:dyDescent="0.2">
      <c r="A37" s="245" t="s">
        <v>250</v>
      </c>
      <c r="B37" s="252">
        <v>0.5</v>
      </c>
      <c r="M37" s="336"/>
      <c r="Z37" s="336"/>
      <c r="AN37" s="244"/>
    </row>
    <row r="38" spans="1:40" x14ac:dyDescent="0.2">
      <c r="A38" s="245" t="s">
        <v>251</v>
      </c>
      <c r="B38" s="252">
        <v>0.99950000000000006</v>
      </c>
      <c r="M38" s="336"/>
      <c r="Z38" s="336"/>
      <c r="AN38" s="244"/>
    </row>
    <row r="39" spans="1:40" x14ac:dyDescent="0.2">
      <c r="M39" s="336"/>
      <c r="Z39" s="336"/>
      <c r="AN39" s="244"/>
    </row>
    <row r="40" spans="1:40" x14ac:dyDescent="0.2">
      <c r="M40" s="336"/>
      <c r="Z40" s="336"/>
      <c r="AN40" s="244"/>
    </row>
    <row r="41" spans="1:40" x14ac:dyDescent="0.2">
      <c r="A41" s="264" t="s">
        <v>428</v>
      </c>
      <c r="M41" s="336"/>
      <c r="Z41" s="336"/>
      <c r="AN41" s="244"/>
    </row>
    <row r="42" spans="1:40" x14ac:dyDescent="0.2">
      <c r="M42" s="336"/>
      <c r="Z42" s="336"/>
      <c r="AN42" s="244"/>
    </row>
    <row r="43" spans="1:40" x14ac:dyDescent="0.2">
      <c r="A43" s="245"/>
      <c r="B43" s="245" t="s">
        <v>229</v>
      </c>
      <c r="C43" s="245" t="s">
        <v>424</v>
      </c>
      <c r="D43" s="245" t="s">
        <v>429</v>
      </c>
      <c r="M43" s="336"/>
      <c r="Z43" s="336"/>
      <c r="AN43" s="244"/>
    </row>
    <row r="44" spans="1:40" x14ac:dyDescent="0.2">
      <c r="A44" s="245" t="s">
        <v>430</v>
      </c>
      <c r="B44" s="245">
        <f>B45/B34/1000000</f>
        <v>99.666666666666657</v>
      </c>
      <c r="C44" s="245">
        <f>B44-(B44/6.86)</f>
        <v>85.13799805636539</v>
      </c>
      <c r="D44" s="245">
        <f>D45/B35/1000000</f>
        <v>1.9933333333333334</v>
      </c>
      <c r="M44" s="336"/>
      <c r="Z44" s="336"/>
      <c r="AN44" s="244"/>
    </row>
    <row r="45" spans="1:40" x14ac:dyDescent="0.2">
      <c r="A45" s="245" t="s">
        <v>431</v>
      </c>
      <c r="B45" s="248">
        <v>299</v>
      </c>
      <c r="C45" s="248">
        <v>299</v>
      </c>
      <c r="D45" s="248">
        <v>299</v>
      </c>
      <c r="M45" s="336"/>
      <c r="Z45" s="336"/>
      <c r="AN45" s="244"/>
    </row>
    <row r="46" spans="1:40" x14ac:dyDescent="0.2">
      <c r="A46" s="245" t="s">
        <v>432</v>
      </c>
      <c r="B46" s="245">
        <f>B44-C44</f>
        <v>14.528668610301267</v>
      </c>
      <c r="C46" s="245">
        <f>C44-D44</f>
        <v>83.144664723032051</v>
      </c>
      <c r="D46" s="245">
        <f>((D44*1000000)-D45)/1000000</f>
        <v>1.9930343333333336</v>
      </c>
      <c r="M46" s="336"/>
      <c r="Z46" s="336"/>
      <c r="AN46" s="244"/>
    </row>
    <row r="47" spans="1:40" x14ac:dyDescent="0.2">
      <c r="M47" s="336"/>
      <c r="Z47" s="336"/>
      <c r="AN47" s="244"/>
    </row>
    <row r="48" spans="1:40" x14ac:dyDescent="0.2">
      <c r="M48" s="336"/>
      <c r="Z48" s="336"/>
      <c r="AN48" s="244"/>
    </row>
    <row r="49" spans="13:40" x14ac:dyDescent="0.2">
      <c r="M49" s="336"/>
      <c r="Z49" s="336"/>
      <c r="AN49" s="244"/>
    </row>
    <row r="50" spans="13:40" x14ac:dyDescent="0.2">
      <c r="M50" s="336"/>
      <c r="Z50" s="336"/>
      <c r="AN50" s="244"/>
    </row>
    <row r="51" spans="13:40" ht="15" x14ac:dyDescent="0.25">
      <c r="M51" s="336"/>
      <c r="N51" s="335" t="s">
        <v>433</v>
      </c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6"/>
      <c r="AA51" s="332" t="s">
        <v>434</v>
      </c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N51" s="244"/>
    </row>
    <row r="52" spans="13:40" x14ac:dyDescent="0.2">
      <c r="M52" s="336"/>
      <c r="Z52" s="336"/>
      <c r="AN52" s="244"/>
    </row>
    <row r="53" spans="13:40" x14ac:dyDescent="0.2">
      <c r="M53" s="336"/>
      <c r="N53" s="245"/>
      <c r="O53" s="245" t="s">
        <v>229</v>
      </c>
      <c r="P53" s="245" t="s">
        <v>327</v>
      </c>
      <c r="Q53" s="245" t="s">
        <v>231</v>
      </c>
      <c r="R53" s="245" t="s">
        <v>232</v>
      </c>
      <c r="S53" s="245" t="s">
        <v>242</v>
      </c>
      <c r="T53" s="242" t="s">
        <v>225</v>
      </c>
      <c r="Z53" s="336"/>
      <c r="AA53" s="245"/>
      <c r="AB53" s="245" t="s">
        <v>229</v>
      </c>
      <c r="AC53" s="245" t="s">
        <v>424</v>
      </c>
      <c r="AD53" s="245" t="s">
        <v>231</v>
      </c>
      <c r="AE53" s="245" t="s">
        <v>232</v>
      </c>
      <c r="AF53" s="245" t="s">
        <v>242</v>
      </c>
      <c r="AG53" s="265" t="s">
        <v>435</v>
      </c>
      <c r="AI53" s="242" t="s">
        <v>436</v>
      </c>
      <c r="AN53" s="244"/>
    </row>
    <row r="54" spans="13:40" x14ac:dyDescent="0.2">
      <c r="M54" s="336"/>
      <c r="N54" s="245" t="s">
        <v>437</v>
      </c>
      <c r="O54" s="245">
        <f>Q11</f>
        <v>29.85</v>
      </c>
      <c r="P54" s="245">
        <f>Q12</f>
        <v>12.76195652173913</v>
      </c>
      <c r="Q54" s="245">
        <f>Q13</f>
        <v>9.0147000000000013</v>
      </c>
      <c r="R54" s="245">
        <f>Q14</f>
        <v>3.5223000000000004</v>
      </c>
      <c r="S54" s="245">
        <v>0</v>
      </c>
      <c r="T54" s="242">
        <f>SUM(O54:S54)</f>
        <v>55.148956521739137</v>
      </c>
      <c r="Z54" s="336"/>
      <c r="AA54" s="245" t="s">
        <v>438</v>
      </c>
      <c r="AB54" s="245">
        <f>AI13</f>
        <v>356.38221153846149</v>
      </c>
      <c r="AC54" s="245">
        <f>AI14</f>
        <v>1.3323597396611686</v>
      </c>
      <c r="AD54" s="245">
        <f>AI15</f>
        <v>227.12660078746046</v>
      </c>
      <c r="AE54" s="245">
        <f>AI16</f>
        <v>208.38306347903807</v>
      </c>
      <c r="AF54" s="245">
        <v>0</v>
      </c>
      <c r="AG54" s="242">
        <f>SUM(AB54:AF54)</f>
        <v>793.22423554462125</v>
      </c>
      <c r="AI54" s="245" t="s">
        <v>438</v>
      </c>
      <c r="AJ54" s="245">
        <f>SUM(AE5:AE8)</f>
        <v>45.116782313954005</v>
      </c>
      <c r="AN54" s="244"/>
    </row>
    <row r="55" spans="13:40" x14ac:dyDescent="0.2">
      <c r="M55" s="336"/>
      <c r="N55" s="245" t="s">
        <v>439</v>
      </c>
      <c r="O55" s="245">
        <f>O54</f>
        <v>29.85</v>
      </c>
      <c r="P55" s="245">
        <f>P54</f>
        <v>12.76195652173913</v>
      </c>
      <c r="Q55" s="245">
        <v>0</v>
      </c>
      <c r="R55" s="245">
        <v>0</v>
      </c>
      <c r="S55" s="245">
        <f>Q15</f>
        <v>6.2287000000000008</v>
      </c>
      <c r="T55" s="242">
        <f>SUM(O55:S55)</f>
        <v>48.840656521739135</v>
      </c>
      <c r="Z55" s="336"/>
      <c r="AA55" s="245" t="s">
        <v>440</v>
      </c>
      <c r="AB55" s="245">
        <f>AI13</f>
        <v>356.38221153846149</v>
      </c>
      <c r="AC55" s="245">
        <f>AI14</f>
        <v>1.3323597396611686</v>
      </c>
      <c r="AD55" s="245">
        <v>0</v>
      </c>
      <c r="AE55" s="245">
        <v>0</v>
      </c>
      <c r="AF55" s="245">
        <f>AI17</f>
        <v>444.05766235068103</v>
      </c>
      <c r="AG55" s="242">
        <f>SUM(AB55:AF55)</f>
        <v>801.77223362880363</v>
      </c>
      <c r="AI55" s="245" t="s">
        <v>441</v>
      </c>
      <c r="AJ55" s="245">
        <f>SUM(AE5:AE6)+AE9</f>
        <v>38.796919840329764</v>
      </c>
      <c r="AN55" s="244"/>
    </row>
    <row r="56" spans="13:40" x14ac:dyDescent="0.2">
      <c r="M56" s="336"/>
      <c r="Z56" s="336"/>
      <c r="AH56" s="260"/>
      <c r="AN56" s="244"/>
    </row>
    <row r="57" spans="13:40" x14ac:dyDescent="0.2">
      <c r="M57" s="336"/>
      <c r="Z57" s="336"/>
      <c r="AN57" s="244"/>
    </row>
    <row r="58" spans="13:40" x14ac:dyDescent="0.2">
      <c r="M58" s="336"/>
      <c r="R58" s="260"/>
      <c r="V58" s="266"/>
      <c r="Z58" s="336"/>
      <c r="AN58" s="244"/>
    </row>
    <row r="59" spans="13:40" x14ac:dyDescent="0.2">
      <c r="M59" s="336"/>
      <c r="V59" s="266"/>
      <c r="Z59" s="336"/>
      <c r="AA59" s="245"/>
      <c r="AB59" s="245" t="s">
        <v>229</v>
      </c>
      <c r="AC59" s="245" t="s">
        <v>424</v>
      </c>
      <c r="AD59" s="245" t="s">
        <v>231</v>
      </c>
      <c r="AE59" s="245" t="s">
        <v>232</v>
      </c>
      <c r="AF59" s="245" t="s">
        <v>242</v>
      </c>
      <c r="AG59" s="245"/>
      <c r="AN59" s="244"/>
    </row>
    <row r="60" spans="13:40" x14ac:dyDescent="0.2">
      <c r="M60" s="336"/>
      <c r="Z60" s="336"/>
      <c r="AA60" s="245" t="s">
        <v>437</v>
      </c>
      <c r="AB60" s="245">
        <v>6543.7358731382319</v>
      </c>
      <c r="AC60" s="245">
        <v>3186.1756659973425</v>
      </c>
      <c r="AD60" s="245">
        <v>1834.9678450880281</v>
      </c>
      <c r="AE60" s="245">
        <v>507.50884806190072</v>
      </c>
      <c r="AF60" s="245">
        <v>0</v>
      </c>
      <c r="AG60" s="245">
        <f>SUM(AB60:AF60)</f>
        <v>12072.388232285502</v>
      </c>
      <c r="AN60" s="244"/>
    </row>
    <row r="61" spans="13:40" x14ac:dyDescent="0.2">
      <c r="M61" s="336"/>
      <c r="Z61" s="336"/>
      <c r="AA61" s="245" t="s">
        <v>442</v>
      </c>
      <c r="AB61" s="245">
        <v>6543.7358731382319</v>
      </c>
      <c r="AC61" s="245">
        <v>3186.1756659973425</v>
      </c>
      <c r="AD61" s="245">
        <v>0</v>
      </c>
      <c r="AE61" s="245">
        <v>0</v>
      </c>
      <c r="AF61" s="245">
        <v>771.06349673178113</v>
      </c>
      <c r="AG61" s="245">
        <f>SUM(AB61:AF61)</f>
        <v>10500.975035867355</v>
      </c>
      <c r="AN61" s="244"/>
    </row>
    <row r="62" spans="13:40" x14ac:dyDescent="0.2">
      <c r="M62" s="336"/>
      <c r="Z62" s="336"/>
      <c r="AN62" s="244"/>
    </row>
    <row r="63" spans="13:40" x14ac:dyDescent="0.2">
      <c r="M63" s="336"/>
      <c r="Z63" s="336"/>
      <c r="AN63" s="244"/>
    </row>
    <row r="64" spans="13:40" x14ac:dyDescent="0.2">
      <c r="M64" s="336"/>
      <c r="Z64" s="336"/>
      <c r="AN64" s="244"/>
    </row>
    <row r="65" spans="13:40" x14ac:dyDescent="0.2">
      <c r="M65" s="336"/>
      <c r="Z65" s="336"/>
      <c r="AN65" s="244"/>
    </row>
    <row r="66" spans="13:40" x14ac:dyDescent="0.2">
      <c r="M66" s="336"/>
      <c r="Z66" s="336"/>
      <c r="AN66" s="244"/>
    </row>
    <row r="67" spans="13:40" x14ac:dyDescent="0.2">
      <c r="M67" s="336"/>
      <c r="Z67" s="336"/>
      <c r="AN67" s="244"/>
    </row>
    <row r="68" spans="13:40" x14ac:dyDescent="0.2">
      <c r="M68" s="336"/>
      <c r="Z68" s="336"/>
      <c r="AN68" s="244"/>
    </row>
    <row r="69" spans="13:40" x14ac:dyDescent="0.2">
      <c r="M69" s="336"/>
      <c r="Z69" s="336"/>
      <c r="AN69" s="244"/>
    </row>
    <row r="70" spans="13:40" x14ac:dyDescent="0.2">
      <c r="M70" s="336"/>
      <c r="Z70" s="336"/>
      <c r="AN70" s="244"/>
    </row>
    <row r="71" spans="13:40" x14ac:dyDescent="0.2">
      <c r="M71" s="336"/>
      <c r="Z71" s="336"/>
      <c r="AN71" s="244"/>
    </row>
    <row r="72" spans="13:40" x14ac:dyDescent="0.2">
      <c r="M72" s="336"/>
      <c r="Z72" s="336"/>
      <c r="AN72" s="244"/>
    </row>
    <row r="73" spans="13:40" x14ac:dyDescent="0.2">
      <c r="M73" s="336"/>
      <c r="Z73" s="336"/>
      <c r="AN73" s="244"/>
    </row>
    <row r="74" spans="13:40" x14ac:dyDescent="0.2">
      <c r="M74" s="336"/>
      <c r="Z74" s="336"/>
      <c r="AN74" s="244"/>
    </row>
    <row r="75" spans="13:40" x14ac:dyDescent="0.2">
      <c r="M75" s="336"/>
      <c r="Z75" s="336"/>
      <c r="AN75" s="244"/>
    </row>
    <row r="76" spans="13:40" x14ac:dyDescent="0.2">
      <c r="M76" s="336"/>
      <c r="Z76" s="336"/>
      <c r="AN76" s="244"/>
    </row>
    <row r="77" spans="13:40" x14ac:dyDescent="0.2">
      <c r="M77" s="336"/>
      <c r="Z77" s="336"/>
      <c r="AN77" s="244"/>
    </row>
    <row r="78" spans="13:40" x14ac:dyDescent="0.2">
      <c r="M78" s="336"/>
      <c r="Z78" s="336"/>
      <c r="AN78" s="244"/>
    </row>
    <row r="79" spans="13:40" x14ac:dyDescent="0.2">
      <c r="M79" s="336"/>
      <c r="Z79" s="336"/>
      <c r="AN79" s="244"/>
    </row>
    <row r="80" spans="13:40" x14ac:dyDescent="0.2">
      <c r="M80" s="336"/>
      <c r="Z80" s="336"/>
      <c r="AN80" s="244"/>
    </row>
    <row r="81" spans="13:40" x14ac:dyDescent="0.2">
      <c r="M81" s="336"/>
      <c r="Z81" s="336"/>
      <c r="AN81" s="244"/>
    </row>
    <row r="82" spans="13:40" x14ac:dyDescent="0.2">
      <c r="M82" s="336"/>
      <c r="Z82" s="336"/>
      <c r="AN82" s="244"/>
    </row>
    <row r="83" spans="13:40" x14ac:dyDescent="0.2">
      <c r="Z83" s="336"/>
      <c r="AN83" s="244"/>
    </row>
    <row r="84" spans="13:40" x14ac:dyDescent="0.2">
      <c r="Z84" s="336"/>
      <c r="AN84" s="244"/>
    </row>
    <row r="85" spans="13:40" x14ac:dyDescent="0.2">
      <c r="AN85" s="244"/>
    </row>
  </sheetData>
  <mergeCells count="21"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  <mergeCell ref="N20:Y20"/>
    <mergeCell ref="A25:C25"/>
    <mergeCell ref="A32:C32"/>
    <mergeCell ref="N51:Y51"/>
    <mergeCell ref="AA51:AL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9"/>
  <sheetViews>
    <sheetView workbookViewId="0">
      <selection activeCell="L29" sqref="L29"/>
    </sheetView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459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531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532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533</v>
      </c>
      <c r="E29" s="303">
        <f>E26/E24</f>
        <v>0.10606060606060606</v>
      </c>
      <c r="F29" s="303">
        <f t="shared" ref="F29:I29" si="0">F26/F24</f>
        <v>0.15425531914893617</v>
      </c>
      <c r="G29" s="303">
        <f t="shared" si="0"/>
        <v>0.11594202898550725</v>
      </c>
      <c r="H29" s="303">
        <f t="shared" si="0"/>
        <v>0.11742424242424243</v>
      </c>
      <c r="I29" s="303">
        <f t="shared" si="0"/>
        <v>0.11923076923076924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workbookViewId="0">
      <selection activeCell="I33" sqref="I32:I33"/>
    </sheetView>
  </sheetViews>
  <sheetFormatPr defaultColWidth="8.85546875" defaultRowHeight="15" x14ac:dyDescent="0.25"/>
  <cols>
    <col min="1" max="4" width="8.85546875" style="268"/>
    <col min="5" max="5" width="15.140625" style="268" customWidth="1"/>
    <col min="6" max="16384" width="8.85546875" style="268"/>
  </cols>
  <sheetData>
    <row r="1" spans="5:19" x14ac:dyDescent="0.25">
      <c r="E1" s="268">
        <v>2017</v>
      </c>
    </row>
    <row r="2" spans="5:19" x14ac:dyDescent="0.25">
      <c r="E2" s="268" t="s">
        <v>444</v>
      </c>
      <c r="H2" s="268" t="s">
        <v>445</v>
      </c>
      <c r="J2" s="268" t="s">
        <v>145</v>
      </c>
    </row>
    <row r="3" spans="5:19" x14ac:dyDescent="0.25">
      <c r="E3" s="269" t="s">
        <v>131</v>
      </c>
      <c r="F3" s="268" t="s">
        <v>117</v>
      </c>
      <c r="G3" s="268" t="s">
        <v>446</v>
      </c>
      <c r="H3" s="269" t="s">
        <v>131</v>
      </c>
      <c r="I3" s="268" t="s">
        <v>447</v>
      </c>
      <c r="J3" s="268" t="s">
        <v>448</v>
      </c>
      <c r="K3" s="268" t="s">
        <v>449</v>
      </c>
      <c r="M3" s="268" t="s">
        <v>450</v>
      </c>
    </row>
    <row r="4" spans="5:19" x14ac:dyDescent="0.25">
      <c r="E4" s="268" t="s">
        <v>172</v>
      </c>
      <c r="F4" s="268">
        <f>SUM('[1]2017 SATIM EB'!$P$31:$P$40)</f>
        <v>0</v>
      </c>
      <c r="G4" s="268">
        <f>F4/$F$8</f>
        <v>0</v>
      </c>
      <c r="H4" s="268" t="s">
        <v>276</v>
      </c>
      <c r="I4" s="268">
        <f>X24</f>
        <v>260</v>
      </c>
      <c r="S4" s="268" t="s">
        <v>451</v>
      </c>
    </row>
    <row r="5" spans="5:19" x14ac:dyDescent="0.25">
      <c r="E5" s="268" t="s">
        <v>189</v>
      </c>
      <c r="F5" s="270">
        <f>SUM('[1]2017 SATIM EB'!$R$31:$R$40)</f>
        <v>4.5246489747494749</v>
      </c>
      <c r="G5" s="268">
        <f t="shared" ref="G5:G8" si="0">F5/$F$8</f>
        <v>0.10324980511857614</v>
      </c>
      <c r="J5" s="268">
        <f>F5/I4</f>
        <v>1.740249605672875E-2</v>
      </c>
      <c r="S5" s="271">
        <f>31/260</f>
        <v>0.11923076923076924</v>
      </c>
    </row>
    <row r="6" spans="5:19" x14ac:dyDescent="0.25">
      <c r="E6" s="268" t="s">
        <v>173</v>
      </c>
      <c r="F6" s="270">
        <f>SUM('[1]2017 SATIM EB'!$S$31:$S$40)</f>
        <v>39.297699837949885</v>
      </c>
      <c r="G6" s="268">
        <f t="shared" si="0"/>
        <v>0.89675019488142382</v>
      </c>
      <c r="J6" s="268">
        <f>F6/I4</f>
        <v>0.15114499937673032</v>
      </c>
      <c r="K6" s="268">
        <f>(F6+F5/2)/I4</f>
        <v>0.15984624740509468</v>
      </c>
    </row>
    <row r="7" spans="5:19" x14ac:dyDescent="0.25">
      <c r="E7" s="268" t="s">
        <v>174</v>
      </c>
      <c r="F7" s="268">
        <f>SUM('[1]2017 SATIM EB'!$T$31:$T$40)</f>
        <v>0</v>
      </c>
      <c r="G7" s="268">
        <f t="shared" si="0"/>
        <v>0</v>
      </c>
    </row>
    <row r="8" spans="5:19" x14ac:dyDescent="0.25">
      <c r="E8" s="268" t="s">
        <v>225</v>
      </c>
      <c r="F8" s="268">
        <f>SUM(F4:F7)</f>
        <v>43.82234881269936</v>
      </c>
      <c r="G8" s="268">
        <f t="shared" si="0"/>
        <v>1</v>
      </c>
    </row>
    <row r="19" spans="17:24" x14ac:dyDescent="0.25">
      <c r="V19" s="268" t="s">
        <v>452</v>
      </c>
      <c r="W19" s="268" t="s">
        <v>453</v>
      </c>
      <c r="X19" s="268" t="s">
        <v>454</v>
      </c>
    </row>
    <row r="20" spans="17:24" x14ac:dyDescent="0.25">
      <c r="V20" s="268">
        <f>11971/31</f>
        <v>386.16129032258067</v>
      </c>
      <c r="W20" s="268">
        <f>85069/251</f>
        <v>338.92031872509961</v>
      </c>
      <c r="X20" s="268">
        <f>97040/X24</f>
        <v>373.23076923076923</v>
      </c>
    </row>
    <row r="23" spans="17:24" x14ac:dyDescent="0.25">
      <c r="S23" s="268">
        <v>2012</v>
      </c>
      <c r="T23" s="268">
        <f>S23+1</f>
        <v>2013</v>
      </c>
      <c r="U23" s="268">
        <f t="shared" ref="U23:X23" si="1">T23+1</f>
        <v>2014</v>
      </c>
      <c r="V23" s="268">
        <f t="shared" si="1"/>
        <v>2015</v>
      </c>
      <c r="W23" s="268">
        <f t="shared" si="1"/>
        <v>2016</v>
      </c>
      <c r="X23" s="268">
        <f t="shared" si="1"/>
        <v>2017</v>
      </c>
    </row>
    <row r="24" spans="17:24" x14ac:dyDescent="0.25">
      <c r="Q24" s="268" t="s">
        <v>455</v>
      </c>
      <c r="S24" s="268">
        <v>254</v>
      </c>
      <c r="T24" s="268">
        <v>264</v>
      </c>
      <c r="U24" s="268">
        <v>188</v>
      </c>
      <c r="V24" s="268">
        <v>276</v>
      </c>
      <c r="W24" s="268">
        <v>264</v>
      </c>
      <c r="X24" s="268">
        <v>260</v>
      </c>
    </row>
    <row r="25" spans="17:24" x14ac:dyDescent="0.25">
      <c r="Q25" s="268" t="s">
        <v>456</v>
      </c>
      <c r="S25" s="268">
        <v>182.4</v>
      </c>
      <c r="T25" s="268">
        <v>205.5</v>
      </c>
      <c r="U25" s="268">
        <v>189.7</v>
      </c>
      <c r="V25" s="268">
        <v>209.5</v>
      </c>
      <c r="W25" s="268">
        <v>196.3</v>
      </c>
      <c r="X25" s="268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>
      <selection activeCell="C3" sqref="C3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547</v>
      </c>
      <c r="E1" s="1" t="s">
        <v>357</v>
      </c>
    </row>
    <row r="2" spans="3:5" ht="96" customHeight="1" x14ac:dyDescent="0.2">
      <c r="C2" s="307" t="s">
        <v>561</v>
      </c>
      <c r="D2" s="92" t="s">
        <v>548</v>
      </c>
      <c r="E2" s="306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C35" sqref="C35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4" t="s">
        <v>152</v>
      </c>
      <c r="C3" s="94"/>
      <c r="D3" s="94"/>
      <c r="E3" s="92" t="s">
        <v>155</v>
      </c>
    </row>
    <row r="4" spans="2:5" ht="13.5" thickTop="1" x14ac:dyDescent="0.2"/>
    <row r="5" spans="2:5" x14ac:dyDescent="0.2">
      <c r="B5" s="92" t="s">
        <v>153</v>
      </c>
      <c r="C5" s="92" t="s">
        <v>15</v>
      </c>
      <c r="D5" s="92" t="s">
        <v>156</v>
      </c>
    </row>
    <row r="6" spans="2:5" ht="15" x14ac:dyDescent="0.25">
      <c r="B6" s="92" t="s">
        <v>154</v>
      </c>
      <c r="C6" s="92" t="s">
        <v>157</v>
      </c>
      <c r="E6" s="122">
        <v>1</v>
      </c>
    </row>
    <row r="7" spans="2:5" x14ac:dyDescent="0.2">
      <c r="D7" t="str">
        <f ca="1">Commodities_BASE!A2</f>
        <v>Commodities_BASE</v>
      </c>
      <c r="E7" s="123">
        <f>$E$6</f>
        <v>1</v>
      </c>
    </row>
    <row r="8" spans="2:5" x14ac:dyDescent="0.2">
      <c r="D8" t="str">
        <f ca="1">CommData_BASE!A2</f>
        <v>CommData_BASE</v>
      </c>
      <c r="E8" s="123">
        <f>$E$6</f>
        <v>1</v>
      </c>
    </row>
    <row r="9" spans="2:5" x14ac:dyDescent="0.2">
      <c r="D9" t="str">
        <f ca="1">Processes_BASE!A2</f>
        <v>Processes_BASE</v>
      </c>
      <c r="E9" s="123">
        <f>$E$6</f>
        <v>1</v>
      </c>
    </row>
    <row r="10" spans="2:5" x14ac:dyDescent="0.2">
      <c r="E10" s="123"/>
    </row>
    <row r="11" spans="2:5" x14ac:dyDescent="0.2">
      <c r="D11" t="str">
        <f ca="1">ProcData_PGM!A2</f>
        <v>ProcData_PGM</v>
      </c>
      <c r="E11" s="123">
        <f>$E$6</f>
        <v>1</v>
      </c>
    </row>
    <row r="12" spans="2:5" x14ac:dyDescent="0.2">
      <c r="E12" s="123"/>
    </row>
    <row r="13" spans="2:5" x14ac:dyDescent="0.2">
      <c r="E13" s="123"/>
    </row>
    <row r="14" spans="2:5" x14ac:dyDescent="0.2">
      <c r="E14" s="123"/>
    </row>
    <row r="15" spans="2:5" x14ac:dyDescent="0.2">
      <c r="E15" s="123"/>
    </row>
    <row r="16" spans="2:5" x14ac:dyDescent="0.2">
      <c r="E16" s="123"/>
    </row>
    <row r="17" spans="5:5" x14ac:dyDescent="0.2">
      <c r="E17" s="123"/>
    </row>
    <row r="18" spans="5:5" x14ac:dyDescent="0.2">
      <c r="E18" s="123"/>
    </row>
    <row r="19" spans="5:5" x14ac:dyDescent="0.2">
      <c r="E19" s="123"/>
    </row>
    <row r="20" spans="5:5" x14ac:dyDescent="0.2">
      <c r="E20" s="123"/>
    </row>
    <row r="21" spans="5:5" x14ac:dyDescent="0.2">
      <c r="E21" s="123"/>
    </row>
    <row r="22" spans="5:5" x14ac:dyDescent="0.2">
      <c r="E22" s="123"/>
    </row>
    <row r="23" spans="5:5" x14ac:dyDescent="0.2">
      <c r="E23" s="123"/>
    </row>
    <row r="24" spans="5:5" x14ac:dyDescent="0.2">
      <c r="E24" s="123"/>
    </row>
    <row r="25" spans="5:5" x14ac:dyDescent="0.2">
      <c r="E25" s="123"/>
    </row>
    <row r="26" spans="5:5" x14ac:dyDescent="0.2">
      <c r="E26" s="123"/>
    </row>
    <row r="27" spans="5:5" x14ac:dyDescent="0.2">
      <c r="E27" s="1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workbookViewId="0">
      <selection activeCell="S14" sqref="S14"/>
    </sheetView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16384" width="9.140625" style="64"/>
  </cols>
  <sheetData>
    <row r="1" spans="3:31" x14ac:dyDescent="0.25">
      <c r="N1" s="64" t="s">
        <v>129</v>
      </c>
      <c r="U1" s="137" t="s">
        <v>162</v>
      </c>
    </row>
    <row r="2" spans="3:31" ht="84" customHeight="1" x14ac:dyDescent="0.25">
      <c r="C2" s="70"/>
      <c r="D2" s="147" t="s">
        <v>172</v>
      </c>
      <c r="E2" s="147" t="s">
        <v>173</v>
      </c>
      <c r="F2" s="272" t="s">
        <v>189</v>
      </c>
      <c r="G2" s="272" t="s">
        <v>174</v>
      </c>
      <c r="H2" s="138"/>
      <c r="I2" s="138"/>
      <c r="J2" s="89"/>
      <c r="K2" s="90"/>
      <c r="L2" s="91"/>
      <c r="M2" s="70"/>
      <c r="O2" s="267" t="s">
        <v>443</v>
      </c>
      <c r="P2" s="147" t="s">
        <v>175</v>
      </c>
      <c r="U2" s="138"/>
      <c r="V2" s="138"/>
      <c r="W2" s="138"/>
      <c r="X2" s="93"/>
      <c r="Y2" s="89"/>
      <c r="Z2" s="128"/>
      <c r="AA2" s="130"/>
    </row>
    <row r="3" spans="3:31" ht="141" customHeight="1" x14ac:dyDescent="0.25">
      <c r="C3" s="70" t="s">
        <v>128</v>
      </c>
      <c r="D3" s="150" t="s">
        <v>178</v>
      </c>
      <c r="E3" s="150" t="s">
        <v>184</v>
      </c>
      <c r="F3" s="287" t="s">
        <v>467</v>
      </c>
      <c r="G3" s="287" t="s">
        <v>183</v>
      </c>
      <c r="H3" s="138"/>
      <c r="I3" s="138"/>
      <c r="J3" s="89"/>
      <c r="K3" s="90"/>
      <c r="L3" s="91"/>
      <c r="M3" s="70" t="s">
        <v>127</v>
      </c>
      <c r="O3" s="267" t="s">
        <v>176</v>
      </c>
      <c r="P3" s="147" t="s">
        <v>177</v>
      </c>
      <c r="U3" s="138"/>
      <c r="V3" s="138"/>
      <c r="W3" s="138"/>
      <c r="X3" s="138"/>
      <c r="Y3" s="89"/>
      <c r="Z3" s="130"/>
      <c r="AA3" s="135"/>
    </row>
    <row r="4" spans="3:31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3"/>
    </row>
    <row r="5" spans="3:31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468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3"/>
      <c r="AE5" s="88"/>
    </row>
    <row r="6" spans="3:31" x14ac:dyDescent="0.25">
      <c r="C6" s="70"/>
      <c r="D6" s="67"/>
      <c r="E6" s="67"/>
      <c r="F6" s="76"/>
      <c r="G6" s="76"/>
      <c r="H6" s="82"/>
      <c r="I6" s="76"/>
      <c r="J6" s="82"/>
      <c r="K6" s="131"/>
      <c r="L6" s="82"/>
      <c r="M6" s="87"/>
      <c r="N6" s="78"/>
      <c r="O6" s="77"/>
      <c r="P6" s="69"/>
      <c r="U6" s="67"/>
      <c r="V6" s="67"/>
      <c r="W6" s="67"/>
      <c r="X6" s="67"/>
      <c r="Y6" s="67"/>
      <c r="Z6" s="67"/>
      <c r="AA6" s="67"/>
      <c r="AD6" s="137"/>
      <c r="AE6" s="84"/>
    </row>
    <row r="7" spans="3:31" x14ac:dyDescent="0.25">
      <c r="C7" s="70"/>
      <c r="D7" s="67"/>
      <c r="E7" s="67"/>
      <c r="F7" s="67"/>
      <c r="G7" s="76"/>
      <c r="H7" s="82"/>
      <c r="I7" s="76"/>
      <c r="J7" s="82"/>
      <c r="K7" s="131"/>
      <c r="L7" s="82"/>
      <c r="M7" s="142" t="s">
        <v>169</v>
      </c>
      <c r="N7" s="148"/>
      <c r="O7" s="149"/>
      <c r="P7" s="72"/>
      <c r="U7" s="67"/>
      <c r="V7" s="67"/>
      <c r="W7" s="67"/>
      <c r="X7" s="67"/>
      <c r="Y7" s="67"/>
      <c r="Z7" s="67"/>
      <c r="AA7" s="67"/>
      <c r="AD7" s="137"/>
      <c r="AE7" s="86"/>
    </row>
    <row r="8" spans="3:31" x14ac:dyDescent="0.25">
      <c r="C8" s="70"/>
      <c r="D8" s="67"/>
      <c r="E8" s="67"/>
      <c r="F8" s="67"/>
      <c r="G8" s="67"/>
      <c r="H8" s="76"/>
      <c r="I8" s="82"/>
      <c r="J8" s="76"/>
      <c r="K8" s="131"/>
      <c r="L8" s="82"/>
      <c r="M8" s="74"/>
      <c r="N8" s="70"/>
      <c r="O8" s="68"/>
      <c r="P8" s="69"/>
      <c r="U8" s="67"/>
      <c r="V8" s="67"/>
      <c r="W8" s="67"/>
      <c r="X8" s="69"/>
      <c r="Y8" s="67"/>
      <c r="Z8" s="67"/>
      <c r="AA8" s="67"/>
      <c r="AD8" s="137"/>
      <c r="AE8" s="83"/>
    </row>
    <row r="9" spans="3:31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5" t="s">
        <v>170</v>
      </c>
      <c r="N9" s="68"/>
      <c r="O9" s="67"/>
      <c r="P9" s="69"/>
      <c r="U9" s="67"/>
      <c r="V9" s="67"/>
      <c r="W9" s="67"/>
      <c r="X9" s="67"/>
      <c r="Y9" s="67"/>
      <c r="Z9" s="67"/>
      <c r="AA9" s="67"/>
      <c r="AB9" s="73"/>
      <c r="AD9" s="146"/>
      <c r="AE9" s="85"/>
    </row>
    <row r="10" spans="3:31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1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1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545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1" x14ac:dyDescent="0.25">
      <c r="C13" s="70"/>
      <c r="D13" s="67"/>
      <c r="E13" s="67"/>
      <c r="F13" s="76"/>
      <c r="G13" s="76"/>
      <c r="H13" s="82"/>
      <c r="I13" s="76"/>
      <c r="J13" s="82"/>
      <c r="K13" s="131"/>
      <c r="L13" s="82"/>
      <c r="M13" s="87"/>
      <c r="N13" s="78"/>
      <c r="O13" s="77"/>
      <c r="P13" s="69"/>
      <c r="U13" s="67"/>
      <c r="V13" s="67"/>
      <c r="W13" s="67"/>
      <c r="X13" s="67"/>
      <c r="Y13" s="67"/>
      <c r="Z13" s="67"/>
      <c r="AA13" s="67"/>
      <c r="AD13" s="65"/>
    </row>
    <row r="14" spans="3:31" x14ac:dyDescent="0.25">
      <c r="C14" s="70"/>
      <c r="D14" s="67"/>
      <c r="E14" s="67"/>
      <c r="F14" s="67"/>
      <c r="G14" s="76"/>
      <c r="H14" s="82"/>
      <c r="I14" s="76"/>
      <c r="J14" s="82"/>
      <c r="K14" s="131"/>
      <c r="L14" s="82"/>
      <c r="M14" s="74"/>
      <c r="N14" s="148"/>
      <c r="O14" s="149"/>
      <c r="P14" s="72"/>
      <c r="U14" s="67"/>
      <c r="V14" s="67"/>
      <c r="W14" s="67"/>
      <c r="X14" s="67"/>
      <c r="Y14" s="67"/>
      <c r="Z14" s="67"/>
      <c r="AA14" s="67"/>
    </row>
    <row r="15" spans="3:31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5" t="s">
        <v>171</v>
      </c>
      <c r="N15" s="70"/>
      <c r="O15" s="68"/>
      <c r="P15" s="69"/>
      <c r="U15" s="67"/>
      <c r="V15" s="67"/>
      <c r="W15" s="67"/>
      <c r="X15" s="67"/>
      <c r="Y15" s="67"/>
      <c r="Z15" s="67"/>
      <c r="AA15" s="67"/>
    </row>
    <row r="16" spans="3:31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3"/>
  <sheetViews>
    <sheetView workbookViewId="0">
      <selection activeCell="K11" sqref="K11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5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4" t="s">
        <v>161</v>
      </c>
      <c r="B1" s="104"/>
    </row>
    <row r="2" spans="1:13" ht="15.75" thickBot="1" x14ac:dyDescent="0.3">
      <c r="A2" s="105"/>
      <c r="B2" s="99"/>
      <c r="C2" s="129" t="s">
        <v>135</v>
      </c>
      <c r="E2" s="99"/>
      <c r="F2" s="99"/>
      <c r="G2" s="100"/>
      <c r="H2" s="129" t="s">
        <v>137</v>
      </c>
      <c r="J2" s="99"/>
      <c r="K2" s="99"/>
      <c r="L2" s="100"/>
    </row>
    <row r="3" spans="1:13" x14ac:dyDescent="0.2">
      <c r="A3" s="106" t="s">
        <v>141</v>
      </c>
      <c r="B3" s="107" t="s">
        <v>131</v>
      </c>
      <c r="C3" s="106" t="s">
        <v>142</v>
      </c>
      <c r="D3" s="107" t="s">
        <v>136</v>
      </c>
      <c r="E3" s="107" t="s">
        <v>138</v>
      </c>
      <c r="F3" s="107" t="s">
        <v>139</v>
      </c>
      <c r="G3" s="108" t="s">
        <v>160</v>
      </c>
      <c r="H3" s="106" t="s">
        <v>142</v>
      </c>
      <c r="I3" s="107" t="s">
        <v>136</v>
      </c>
      <c r="J3" s="107" t="s">
        <v>138</v>
      </c>
      <c r="K3" s="107" t="s">
        <v>139</v>
      </c>
      <c r="L3" s="108" t="s">
        <v>160</v>
      </c>
      <c r="M3" t="s">
        <v>140</v>
      </c>
    </row>
    <row r="4" spans="1:13" x14ac:dyDescent="0.2">
      <c r="A4" s="105" t="str">
        <f>RES!O2</f>
        <v>IPGM</v>
      </c>
      <c r="B4" s="99" t="str">
        <f>RES!O3</f>
        <v>Industry - PGMs - Platinum</v>
      </c>
      <c r="C4" s="105" t="str">
        <f>RES!M9</f>
        <v>IPGMME-E</v>
      </c>
      <c r="D4" s="99" t="str">
        <f>RES!M5</f>
        <v>Industry - PGMs - Mine and refine - existing</v>
      </c>
      <c r="E4" s="98" t="s">
        <v>117</v>
      </c>
      <c r="F4" s="96">
        <f>D19</f>
        <v>260</v>
      </c>
      <c r="G4" s="134"/>
      <c r="H4" s="105"/>
      <c r="I4" s="99"/>
      <c r="J4" s="111"/>
      <c r="K4" s="110"/>
      <c r="L4" s="100"/>
    </row>
    <row r="5" spans="1:13" x14ac:dyDescent="0.2">
      <c r="A5" s="95" t="str">
        <f>RES!P2</f>
        <v>IPGMOP</v>
      </c>
      <c r="B5" s="97" t="str">
        <f>RES!P3</f>
        <v>Industry - PGMs - Other PGMs</v>
      </c>
      <c r="C5" s="95"/>
      <c r="D5" s="97"/>
      <c r="E5" s="98"/>
      <c r="F5" s="96"/>
      <c r="G5" s="132"/>
      <c r="I5" s="97"/>
    </row>
    <row r="6" spans="1:13" x14ac:dyDescent="0.2">
      <c r="A6" s="95"/>
      <c r="B6" s="97"/>
      <c r="C6" s="95"/>
      <c r="D6" s="97"/>
      <c r="G6" s="132"/>
      <c r="I6" s="97"/>
    </row>
    <row r="7" spans="1:13" ht="15" x14ac:dyDescent="0.25">
      <c r="A7" s="139" t="str">
        <f>RES!D2</f>
        <v>INDCOA</v>
      </c>
      <c r="B7" s="113" t="str">
        <f>RES!D3</f>
        <v>Industry - Coal</v>
      </c>
      <c r="C7" s="112"/>
      <c r="D7" s="113"/>
      <c r="E7" s="114"/>
      <c r="F7" s="133"/>
      <c r="G7" s="115"/>
      <c r="H7" s="112" t="str">
        <f>C4</f>
        <v>IPGMME-E</v>
      </c>
      <c r="I7" s="112" t="str">
        <f>D4</f>
        <v>Industry - PGMs - Mine and refine - existing</v>
      </c>
      <c r="J7" s="114" t="s">
        <v>117</v>
      </c>
      <c r="K7" s="140">
        <f>D25</f>
        <v>3.9478462800501317</v>
      </c>
      <c r="L7" s="115"/>
      <c r="M7" s="92"/>
    </row>
    <row r="8" spans="1:13" ht="15" x14ac:dyDescent="0.25">
      <c r="A8" s="139" t="str">
        <f>RES!E2</f>
        <v>INFELC</v>
      </c>
      <c r="B8" s="113" t="str">
        <f>RES!E3</f>
        <v>Industry - NonFerrous - Electricity</v>
      </c>
      <c r="C8" s="105"/>
      <c r="D8" s="99"/>
      <c r="E8" s="111"/>
      <c r="F8" s="136"/>
      <c r="G8" s="100"/>
      <c r="H8" s="105" t="str">
        <f>RES!M9</f>
        <v>IPGMME-E</v>
      </c>
      <c r="I8" s="99" t="str">
        <f>RES!M5</f>
        <v>Industry - PGMs - Mine and refine - existing</v>
      </c>
      <c r="J8" s="111" t="s">
        <v>117</v>
      </c>
      <c r="K8" s="140">
        <f>D26</f>
        <v>39.297699837949885</v>
      </c>
      <c r="L8" s="118"/>
    </row>
    <row r="9" spans="1:13" ht="15" x14ac:dyDescent="0.25">
      <c r="A9" s="139" t="str">
        <f>RES!F2</f>
        <v>INDODS</v>
      </c>
      <c r="B9" s="113" t="str">
        <f>RES!F3</f>
        <v>Industry - Diesel</v>
      </c>
      <c r="C9" s="101"/>
      <c r="D9" s="102"/>
      <c r="E9" s="102"/>
      <c r="F9" s="102"/>
      <c r="G9" s="103"/>
      <c r="H9" s="101" t="str">
        <f>H7</f>
        <v>IPGMME-E</v>
      </c>
      <c r="I9" s="102" t="str">
        <f>I7</f>
        <v>Industry - PGMs - Mine and refine - existing</v>
      </c>
      <c r="J9" s="109" t="s">
        <v>117</v>
      </c>
      <c r="K9" s="140">
        <f>D28</f>
        <v>4.5246489747494749</v>
      </c>
      <c r="L9" s="103"/>
      <c r="M9" s="92"/>
    </row>
    <row r="10" spans="1:13" ht="15" x14ac:dyDescent="0.25">
      <c r="A10" s="139" t="str">
        <f>RES!G2</f>
        <v>INFGAS</v>
      </c>
      <c r="B10" s="113" t="str">
        <f>RES!G3</f>
        <v>Industry - NonFerrous - Gas</v>
      </c>
      <c r="C10" s="97"/>
      <c r="D10" s="97"/>
      <c r="E10" s="97"/>
      <c r="F10" s="97"/>
      <c r="G10" s="151"/>
      <c r="H10" s="101" t="str">
        <f>H8</f>
        <v>IPGMME-E</v>
      </c>
      <c r="I10" s="102" t="str">
        <f>I8</f>
        <v>Industry - PGMs - Mine and refine - existing</v>
      </c>
      <c r="J10" s="109" t="s">
        <v>117</v>
      </c>
      <c r="K10" s="152">
        <f>D27</f>
        <v>0.26574693623601153</v>
      </c>
      <c r="L10" s="97"/>
      <c r="M10" s="92"/>
    </row>
    <row r="11" spans="1:13" x14ac:dyDescent="0.2">
      <c r="C11" s="99"/>
      <c r="D11" s="99"/>
      <c r="E11" s="99"/>
      <c r="F11" s="144"/>
      <c r="G11" s="100"/>
      <c r="H11" s="105"/>
      <c r="I11" s="99"/>
      <c r="K11" s="99"/>
      <c r="L11" s="99"/>
      <c r="M11" s="92"/>
    </row>
    <row r="12" spans="1:13" x14ac:dyDescent="0.2">
      <c r="E12" s="141"/>
      <c r="M12" s="92"/>
    </row>
    <row r="14" spans="1:13" x14ac:dyDescent="0.2">
      <c r="M14" s="92"/>
    </row>
    <row r="17" spans="2:32" x14ac:dyDescent="0.2">
      <c r="B17" s="1" t="s">
        <v>187</v>
      </c>
    </row>
    <row r="18" spans="2:32" x14ac:dyDescent="0.2">
      <c r="C18" s="1">
        <v>2012</v>
      </c>
      <c r="D18">
        <v>2017</v>
      </c>
      <c r="M18" s="92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</row>
    <row r="19" spans="2:32" x14ac:dyDescent="0.2">
      <c r="B19" s="92" t="s">
        <v>469</v>
      </c>
      <c r="D19" s="143">
        <f>'PGM methodology'!L4</f>
        <v>260</v>
      </c>
    </row>
    <row r="20" spans="2:32" x14ac:dyDescent="0.2">
      <c r="B20" s="92" t="s">
        <v>185</v>
      </c>
      <c r="D20" s="311">
        <f>'PGM methodology'!L12</f>
        <v>156.30659928953824</v>
      </c>
      <c r="E20" s="92" t="s">
        <v>457</v>
      </c>
      <c r="M20" s="92"/>
    </row>
    <row r="21" spans="2:32" x14ac:dyDescent="0.2">
      <c r="B21" s="92" t="s">
        <v>562</v>
      </c>
      <c r="D21" s="311">
        <f>'PGM methodology'!L13</f>
        <v>103.69340071046176</v>
      </c>
    </row>
    <row r="22" spans="2:32" x14ac:dyDescent="0.2">
      <c r="M22" s="92"/>
    </row>
    <row r="23" spans="2:32" ht="15" customHeight="1" x14ac:dyDescent="0.2">
      <c r="B23" s="1" t="s">
        <v>182</v>
      </c>
      <c r="M23" s="92"/>
    </row>
    <row r="24" spans="2:32" x14ac:dyDescent="0.2">
      <c r="C24" s="1">
        <v>2012</v>
      </c>
      <c r="D24" s="1">
        <v>2017</v>
      </c>
      <c r="E24" s="154"/>
      <c r="M24" s="92"/>
    </row>
    <row r="25" spans="2:32" x14ac:dyDescent="0.2">
      <c r="B25" t="s">
        <v>143</v>
      </c>
      <c r="D25" s="154">
        <f>'PGM methodology'!L44</f>
        <v>3.9478462800501317</v>
      </c>
      <c r="E25" s="154"/>
      <c r="M25" s="92"/>
    </row>
    <row r="26" spans="2:32" x14ac:dyDescent="0.2">
      <c r="B26" t="s">
        <v>179</v>
      </c>
      <c r="D26" s="154">
        <f>'PGM methodology'!L42</f>
        <v>39.297699837949885</v>
      </c>
      <c r="E26" s="154"/>
      <c r="M26" s="92"/>
    </row>
    <row r="27" spans="2:32" x14ac:dyDescent="0.2">
      <c r="B27" t="s">
        <v>180</v>
      </c>
      <c r="D27" s="154">
        <f>'PGM methodology'!L45</f>
        <v>0.26574693623601153</v>
      </c>
      <c r="E27" s="154"/>
      <c r="M27" s="92"/>
    </row>
    <row r="28" spans="2:32" x14ac:dyDescent="0.2">
      <c r="B28" t="s">
        <v>181</v>
      </c>
      <c r="D28" s="154">
        <f>'PGM methodology'!L43</f>
        <v>4.5246489747494749</v>
      </c>
      <c r="M28" s="92"/>
    </row>
    <row r="29" spans="2:32" x14ac:dyDescent="0.2">
      <c r="D29" s="154">
        <f>SUM(D25:D28)</f>
        <v>48.035942028985502</v>
      </c>
      <c r="M29" s="92"/>
    </row>
    <row r="30" spans="2:32" x14ac:dyDescent="0.2">
      <c r="M30" s="92"/>
    </row>
    <row r="31" spans="2:32" x14ac:dyDescent="0.2">
      <c r="M31" s="92"/>
    </row>
    <row r="32" spans="2:32" x14ac:dyDescent="0.2">
      <c r="M32" s="92"/>
    </row>
    <row r="33" spans="13:13" ht="31.5" customHeight="1" x14ac:dyDescent="0.2">
      <c r="M33" s="92"/>
    </row>
    <row r="34" spans="13:13" x14ac:dyDescent="0.2">
      <c r="M34" s="92"/>
    </row>
    <row r="35" spans="13:13" x14ac:dyDescent="0.2">
      <c r="M35" s="92"/>
    </row>
    <row r="36" spans="13:13" x14ac:dyDescent="0.2">
      <c r="M36" s="92"/>
    </row>
    <row r="37" spans="13:13" x14ac:dyDescent="0.2">
      <c r="M37" s="92"/>
    </row>
    <row r="38" spans="13:13" x14ac:dyDescent="0.2">
      <c r="M38" s="92"/>
    </row>
    <row r="39" spans="13:13" x14ac:dyDescent="0.2">
      <c r="M39" s="92"/>
    </row>
    <row r="40" spans="13:13" x14ac:dyDescent="0.2">
      <c r="M40" s="92"/>
    </row>
    <row r="41" spans="13:13" x14ac:dyDescent="0.2">
      <c r="M41" s="92"/>
    </row>
    <row r="42" spans="13:13" x14ac:dyDescent="0.2">
      <c r="M42" s="92"/>
    </row>
    <row r="43" spans="13:13" x14ac:dyDescent="0.2">
      <c r="M43" s="92"/>
    </row>
    <row r="44" spans="13:13" x14ac:dyDescent="0.2">
      <c r="M44" s="92"/>
    </row>
    <row r="45" spans="13:13" x14ac:dyDescent="0.2">
      <c r="M45" s="92"/>
    </row>
    <row r="46" spans="13:13" x14ac:dyDescent="0.2">
      <c r="M46" s="92"/>
    </row>
    <row r="47" spans="13:13" x14ac:dyDescent="0.2">
      <c r="M47" s="92"/>
    </row>
    <row r="48" spans="13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F58" s="143"/>
      <c r="I58" s="143"/>
      <c r="J58" s="143"/>
      <c r="K58" s="143"/>
    </row>
    <row r="59" spans="6:13" x14ac:dyDescent="0.2">
      <c r="F59" s="143"/>
      <c r="I59" s="143"/>
      <c r="J59" s="143"/>
      <c r="K59" s="143"/>
    </row>
    <row r="60" spans="6:13" x14ac:dyDescent="0.2">
      <c r="F60" s="143"/>
      <c r="I60" s="143"/>
      <c r="J60" s="143"/>
      <c r="K60" s="143"/>
    </row>
    <row r="61" spans="6:13" x14ac:dyDescent="0.2">
      <c r="F61" s="143"/>
      <c r="I61" s="143"/>
      <c r="J61" s="143"/>
      <c r="K61" s="143"/>
    </row>
    <row r="63" spans="6:13" x14ac:dyDescent="0.2">
      <c r="I63" s="143"/>
      <c r="J63" s="143"/>
      <c r="K63" s="14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E10" sqref="B10:E10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168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168</v>
      </c>
    </row>
    <row r="15" spans="1:6" ht="12.75" x14ac:dyDescent="0.2">
      <c r="A15" s="55" t="s">
        <v>116</v>
      </c>
      <c r="B15" s="48"/>
      <c r="C15" s="48"/>
      <c r="D15" s="54"/>
    </row>
    <row r="16" spans="1:6" ht="12.75" x14ac:dyDescent="0.2">
      <c r="A16" s="48"/>
      <c r="B16" s="48" t="s">
        <v>163</v>
      </c>
      <c r="C16" s="48" t="s">
        <v>164</v>
      </c>
      <c r="D16" s="54" t="s">
        <v>121</v>
      </c>
      <c r="E16" s="31" t="s">
        <v>122</v>
      </c>
    </row>
    <row r="17" spans="1:5" ht="12.75" x14ac:dyDescent="0.2">
      <c r="A17" s="48"/>
      <c r="B17" s="48" t="s">
        <v>165</v>
      </c>
      <c r="C17" s="48" t="s">
        <v>166</v>
      </c>
      <c r="D17" s="54" t="s">
        <v>121</v>
      </c>
      <c r="E17" s="31" t="s">
        <v>122</v>
      </c>
    </row>
    <row r="18" spans="1:5" ht="12.75" x14ac:dyDescent="0.2">
      <c r="A18" s="48"/>
      <c r="B18" s="48"/>
      <c r="C18" s="48"/>
      <c r="D18" s="54"/>
      <c r="E18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2021-09-07T15:00:37Z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