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drawings/drawing21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8.xml" ContentType="application/vnd.openxmlformats-officedocument.spreadsheetml.comments+xml"/>
  <Override PartName="/xl/drawings/drawing22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23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24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25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6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7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8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EEF3C084-8F93-4180-BCF1-0DE8A9FEA3E7}" xr6:coauthVersionLast="47" xr6:coauthVersionMax="47" xr10:uidLastSave="{00000000-0000-0000-0000-000000000000}"/>
  <bookViews>
    <workbookView xWindow="-120" yWindow="-120" windowWidth="29040" windowHeight="15840" firstSheet="2" activeTab="8" xr2:uid="{01C5F1A3-3E45-467D-9726-EEF4E68E73D8}"/>
  </bookViews>
  <sheets>
    <sheet name="ANSv2-692-Home" sheetId="9" r:id="rId1"/>
    <sheet name="Issues outstanding" sheetId="73" r:id="rId2"/>
    <sheet name="Log" sheetId="72" r:id="rId3"/>
    <sheet name="Index" sheetId="60" r:id="rId4"/>
    <sheet name="RES" sheetId="52" r:id="rId5"/>
    <sheet name="EB_Exist" sheetId="27" r:id="rId6"/>
    <sheet name="ANSv2-692-REGIONS" sheetId="18" state="veryHidden" r:id="rId7"/>
    <sheet name="ANSv2-692-Commodities" sheetId="19" state="veryHidden" r:id="rId8"/>
    <sheet name="Commodities_BASE" sheetId="29" r:id="rId9"/>
    <sheet name="ANSv2-692-Processes" sheetId="20" state="veryHidden" r:id="rId10"/>
    <sheet name="ANSv2-692-Constraints" sheetId="23" state="veryHidden" r:id="rId11"/>
    <sheet name="ANSv2-692-CommData" sheetId="21" state="veryHidden" r:id="rId12"/>
    <sheet name="CommData_BASE" sheetId="30" r:id="rId13"/>
    <sheet name="ProcData_PGM" sheetId="56" r:id="rId14"/>
    <sheet name="Processes_BASE" sheetId="31" r:id="rId15"/>
    <sheet name="ANSv2-692-ProcData" sheetId="25" state="veryHidden" r:id="rId16"/>
    <sheet name="ProcData_PGMexports" sheetId="74" r:id="rId17"/>
    <sheet name="PGM methodology" sheetId="65" r:id="rId18"/>
    <sheet name="Production of minerals" sheetId="61" r:id="rId19"/>
    <sheet name="Energy data" sheetId="62" r:id="rId20"/>
    <sheet name="Students report" sheetId="63" r:id="rId21"/>
    <sheet name="Mudd 2009 paper" sheetId="64" r:id="rId22"/>
    <sheet name="Sheet1" sheetId="71" r:id="rId23"/>
    <sheet name="Waterberg project" sheetId="70" r:id="rId24"/>
    <sheet name="Costs" sheetId="66" r:id="rId25"/>
    <sheet name="Students worksheet" sheetId="67" r:id="rId26"/>
    <sheet name="Minerals council report 2017" sheetId="68" r:id="rId27"/>
    <sheet name="Brunos EB" sheetId="69" r:id="rId28"/>
    <sheet name="ANSv2-692-ConstrData" sheetId="24" state="veryHidden" r:id="rId29"/>
    <sheet name="ANSv2-692-ITEMS" sheetId="10" state="veryHidden" r:id="rId30"/>
    <sheet name="ANSv2-692-TS DATA" sheetId="12" state="veryHidden" r:id="rId31"/>
    <sheet name="ANSv2-692-TID DATA" sheetId="13" state="veryHidden" r:id="rId32"/>
    <sheet name="ANSv2-692-TS&amp;TID DATA" sheetId="14" state="veryHidden" r:id="rId33"/>
    <sheet name="ANSv2-692-TS TRADE" sheetId="15" state="veryHidden" r:id="rId34"/>
    <sheet name="ANSv2-692-TID TRADE" sheetId="16" state="veryHidden" r:id="rId35"/>
    <sheet name="ANSv2-692-TS&amp;TID TRADE" sheetId="17" state="veryHidden" r:id="rId36"/>
  </sheets>
  <externalReferences>
    <externalReference r:id="rId37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56" l="1"/>
  <c r="AF1" i="56"/>
  <c r="AE1" i="56"/>
  <c r="AD1" i="56"/>
  <c r="AG5" i="56"/>
  <c r="AG4" i="56"/>
  <c r="AF5" i="56"/>
  <c r="AF4" i="56"/>
  <c r="AE5" i="56"/>
  <c r="AE4" i="56"/>
  <c r="AD5" i="56"/>
  <c r="AD4" i="56"/>
  <c r="AD9" i="56"/>
  <c r="AF11" i="56"/>
  <c r="AG12" i="56"/>
  <c r="G23" i="27"/>
  <c r="G22" i="27"/>
  <c r="G20" i="27"/>
  <c r="G28" i="27"/>
  <c r="G24" i="27"/>
  <c r="AC18" i="56"/>
  <c r="AB17" i="56"/>
  <c r="AA16" i="56"/>
  <c r="Z15" i="56"/>
  <c r="AC12" i="56"/>
  <c r="AB11" i="56"/>
  <c r="AA10" i="56"/>
  <c r="Z9" i="56"/>
  <c r="AC5" i="56"/>
  <c r="AB5" i="56"/>
  <c r="AA5" i="56"/>
  <c r="Z5" i="56"/>
  <c r="AC4" i="56"/>
  <c r="AB4" i="56"/>
  <c r="AA4" i="56"/>
  <c r="Z4" i="56"/>
  <c r="Q14" i="60"/>
  <c r="Q15" i="60" s="1"/>
  <c r="N15" i="60"/>
  <c r="O53" i="65"/>
  <c r="O52" i="65"/>
  <c r="O51" i="65"/>
  <c r="O45" i="65"/>
  <c r="O42" i="65"/>
  <c r="O41" i="65"/>
  <c r="O40" i="65"/>
  <c r="O37" i="65"/>
  <c r="O36" i="65"/>
  <c r="O35" i="65"/>
  <c r="O31" i="65"/>
  <c r="O30" i="65"/>
  <c r="N16" i="60"/>
  <c r="Q29" i="65" s="1"/>
  <c r="Q16" i="60"/>
  <c r="Q44" i="65" s="1"/>
  <c r="O44" i="65" s="1"/>
  <c r="Q34" i="65" l="1"/>
  <c r="O29" i="65"/>
  <c r="E10" i="60"/>
  <c r="J5" i="74"/>
  <c r="R12" i="74"/>
  <c r="Q12" i="74"/>
  <c r="P12" i="74"/>
  <c r="O12" i="74"/>
  <c r="N12" i="74"/>
  <c r="M12" i="74"/>
  <c r="E12" i="74"/>
  <c r="K5" i="74" s="1"/>
  <c r="D12" i="74"/>
  <c r="C12" i="74"/>
  <c r="B12" i="74"/>
  <c r="R11" i="74"/>
  <c r="Q11" i="74"/>
  <c r="P11" i="74"/>
  <c r="O11" i="74"/>
  <c r="N11" i="74"/>
  <c r="M11" i="74"/>
  <c r="F11" i="74"/>
  <c r="F12" i="74" s="1"/>
  <c r="E11" i="74"/>
  <c r="D11" i="74"/>
  <c r="C11" i="74"/>
  <c r="B11" i="74"/>
  <c r="F10" i="74"/>
  <c r="E9" i="74"/>
  <c r="D9" i="74"/>
  <c r="C9" i="74"/>
  <c r="B9" i="74"/>
  <c r="A8" i="74"/>
  <c r="A2" i="74"/>
  <c r="D11" i="60" s="1"/>
  <c r="B1" i="74"/>
  <c r="O34" i="65" l="1"/>
  <c r="Q39" i="65"/>
  <c r="O39" i="65" s="1"/>
  <c r="O50" i="65" s="1"/>
  <c r="T12" i="74"/>
  <c r="U12" i="74" s="1"/>
  <c r="S12" i="74"/>
  <c r="T11" i="74"/>
  <c r="U11" i="74" s="1"/>
  <c r="S11" i="74"/>
  <c r="C13" i="31"/>
  <c r="B13" i="31"/>
  <c r="C12" i="31"/>
  <c r="B12" i="31"/>
  <c r="C11" i="31"/>
  <c r="B11" i="31"/>
  <c r="J8" i="30"/>
  <c r="K8" i="30" s="1"/>
  <c r="L8" i="30" s="1"/>
  <c r="E8" i="30"/>
  <c r="F8" i="30"/>
  <c r="G8" i="30"/>
  <c r="H8" i="30"/>
  <c r="I8" i="30"/>
  <c r="B8" i="30"/>
  <c r="C15" i="29"/>
  <c r="B15" i="29"/>
  <c r="I8" i="27"/>
  <c r="H8" i="27"/>
  <c r="I7" i="27"/>
  <c r="H7" i="27"/>
  <c r="D6" i="27"/>
  <c r="C6" i="27"/>
  <c r="B6" i="27"/>
  <c r="A6" i="27"/>
  <c r="G17" i="65"/>
  <c r="G22" i="65" s="1"/>
  <c r="G23" i="65" s="1"/>
  <c r="G24" i="65"/>
  <c r="O55" i="65" l="1"/>
  <c r="G21" i="27"/>
  <c r="AE10" i="56" s="1"/>
  <c r="D35" i="27"/>
  <c r="K7" i="27" s="1"/>
  <c r="D36" i="27"/>
  <c r="K8" i="27" s="1"/>
  <c r="H22" i="65"/>
  <c r="H23" i="65" s="1"/>
  <c r="I22" i="65"/>
  <c r="I23" i="65" s="1"/>
  <c r="J22" i="65"/>
  <c r="K22" i="65"/>
  <c r="J23" i="65"/>
  <c r="K23" i="65"/>
  <c r="H24" i="65"/>
  <c r="I24" i="65"/>
  <c r="J24" i="65"/>
  <c r="K24" i="65"/>
  <c r="L24" i="65"/>
  <c r="L23" i="65"/>
  <c r="D34" i="27"/>
  <c r="F6" i="27" s="1"/>
  <c r="I17" i="65"/>
  <c r="J17" i="65"/>
  <c r="K17" i="65"/>
  <c r="K19" i="65" s="1"/>
  <c r="L17" i="65"/>
  <c r="I18" i="65"/>
  <c r="J18" i="65"/>
  <c r="K18" i="65"/>
  <c r="L18" i="65"/>
  <c r="H18" i="65"/>
  <c r="H17" i="65"/>
  <c r="L19" i="65" l="1"/>
  <c r="L22" i="65"/>
  <c r="I19" i="65"/>
  <c r="J19" i="65"/>
  <c r="H19" i="65"/>
  <c r="P10" i="71" l="1"/>
  <c r="H10" i="71"/>
  <c r="I10" i="71"/>
  <c r="J10" i="71"/>
  <c r="K10" i="71"/>
  <c r="L10" i="71"/>
  <c r="M10" i="71"/>
  <c r="M11" i="71" s="1"/>
  <c r="N10" i="71"/>
  <c r="N11" i="71" s="1"/>
  <c r="O10" i="71"/>
  <c r="O11" i="71" s="1"/>
  <c r="P11" i="71"/>
  <c r="H11" i="71"/>
  <c r="I11" i="71"/>
  <c r="J11" i="71"/>
  <c r="K11" i="71"/>
  <c r="L11" i="71"/>
  <c r="G11" i="71"/>
  <c r="G10" i="71"/>
  <c r="O7" i="66" l="1"/>
  <c r="N25" i="70"/>
  <c r="L86" i="65" l="1"/>
  <c r="Q19" i="56" s="1"/>
  <c r="L85" i="65"/>
  <c r="O19" i="56" s="1"/>
  <c r="L84" i="65" l="1"/>
  <c r="P19" i="56" s="1"/>
  <c r="N26" i="70"/>
  <c r="L66" i="70"/>
  <c r="L67" i="70"/>
  <c r="F20" i="56" l="1"/>
  <c r="F19" i="56"/>
  <c r="E18" i="56"/>
  <c r="E17" i="56"/>
  <c r="E16" i="56"/>
  <c r="E15" i="56"/>
  <c r="D15" i="56"/>
  <c r="C15" i="56"/>
  <c r="B15" i="56"/>
  <c r="G4" i="65"/>
  <c r="H4" i="65"/>
  <c r="I4" i="65"/>
  <c r="I46" i="65" s="1"/>
  <c r="W65" i="64"/>
  <c r="G46" i="65" l="1"/>
  <c r="I47" i="65"/>
  <c r="H47" i="65"/>
  <c r="H46" i="65"/>
  <c r="G47" i="65"/>
  <c r="W64" i="64" l="1"/>
  <c r="F29" i="68" l="1"/>
  <c r="G29" i="68"/>
  <c r="H29" i="68"/>
  <c r="I29" i="68"/>
  <c r="E29" i="68"/>
  <c r="L25" i="70"/>
  <c r="L40" i="70"/>
  <c r="O99" i="70"/>
  <c r="N23" i="70"/>
  <c r="N22" i="70"/>
  <c r="E12" i="56"/>
  <c r="W5" i="56" s="1"/>
  <c r="B13" i="27"/>
  <c r="A13" i="27"/>
  <c r="L4" i="65"/>
  <c r="L47" i="65" s="1"/>
  <c r="K4" i="65"/>
  <c r="K47" i="65" s="1"/>
  <c r="J4" i="65"/>
  <c r="J47" i="65" s="1"/>
  <c r="F14" i="56"/>
  <c r="Y5" i="56" s="1"/>
  <c r="J46" i="65" l="1"/>
  <c r="K46" i="65"/>
  <c r="L46" i="65"/>
  <c r="V32" i="65"/>
  <c r="B5" i="27"/>
  <c r="A5" i="27"/>
  <c r="D28" i="27"/>
  <c r="F4" i="27" s="1"/>
  <c r="I4" i="69"/>
  <c r="F13" i="56"/>
  <c r="T23" i="69"/>
  <c r="U23" i="69" s="1"/>
  <c r="V23" i="69" s="1"/>
  <c r="W23" i="69" s="1"/>
  <c r="X23" i="69" s="1"/>
  <c r="X20" i="69"/>
  <c r="W20" i="69"/>
  <c r="V20" i="69"/>
  <c r="F7" i="69"/>
  <c r="F6" i="69"/>
  <c r="J6" i="69" s="1"/>
  <c r="S5" i="69"/>
  <c r="F5" i="69"/>
  <c r="J5" i="69" s="1"/>
  <c r="F4" i="69"/>
  <c r="J29" i="65" l="1"/>
  <c r="G29" i="65"/>
  <c r="H29" i="65"/>
  <c r="I29" i="65"/>
  <c r="K29" i="65"/>
  <c r="L29" i="65"/>
  <c r="L62" i="65" s="1"/>
  <c r="K6" i="69"/>
  <c r="F8" i="69"/>
  <c r="G8" i="69" s="1"/>
  <c r="P49" i="62"/>
  <c r="P50" i="62"/>
  <c r="AG61" i="67"/>
  <c r="AG60" i="67"/>
  <c r="AJ55" i="67"/>
  <c r="AJ54" i="67"/>
  <c r="D46" i="67"/>
  <c r="D44" i="67"/>
  <c r="B44" i="67"/>
  <c r="C44" i="67" s="1"/>
  <c r="C30" i="67"/>
  <c r="C29" i="67"/>
  <c r="C28" i="67"/>
  <c r="Q26" i="67"/>
  <c r="R23" i="67"/>
  <c r="P23" i="67"/>
  <c r="Q22" i="67"/>
  <c r="P22" i="67"/>
  <c r="AH17" i="67"/>
  <c r="AF17" i="67"/>
  <c r="AI17" i="67" s="1"/>
  <c r="AG16" i="67"/>
  <c r="AF16" i="67"/>
  <c r="AI16" i="67" s="1"/>
  <c r="AH15" i="67"/>
  <c r="AG15" i="67"/>
  <c r="AF15" i="67"/>
  <c r="AI15" i="67" s="1"/>
  <c r="P15" i="67"/>
  <c r="Q15" i="67" s="1"/>
  <c r="E15" i="67"/>
  <c r="T14" i="67" s="1"/>
  <c r="B15" i="67"/>
  <c r="AJ14" i="67"/>
  <c r="AI14" i="67"/>
  <c r="AC54" i="67" s="1"/>
  <c r="AG14" i="67"/>
  <c r="B14" i="67"/>
  <c r="AH13" i="67"/>
  <c r="AI13" i="67" s="1"/>
  <c r="P13" i="67"/>
  <c r="Q13" i="67" s="1"/>
  <c r="J13" i="67"/>
  <c r="E13" i="67"/>
  <c r="B13" i="67"/>
  <c r="J12" i="67"/>
  <c r="E12" i="67"/>
  <c r="B12" i="67"/>
  <c r="E11" i="67"/>
  <c r="D11" i="67"/>
  <c r="C11" i="67"/>
  <c r="B11" i="67"/>
  <c r="O8" i="67"/>
  <c r="E8" i="67"/>
  <c r="E14" i="67" s="1"/>
  <c r="D8" i="67"/>
  <c r="D14" i="67" s="1"/>
  <c r="C8" i="67"/>
  <c r="C15" i="67" s="1"/>
  <c r="B8" i="67"/>
  <c r="O7" i="67"/>
  <c r="P14" i="67" s="1"/>
  <c r="Q14" i="67" s="1"/>
  <c r="F7" i="67"/>
  <c r="O6" i="67"/>
  <c r="P11" i="67" s="1"/>
  <c r="F6" i="67"/>
  <c r="F5" i="67"/>
  <c r="F4" i="67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X35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E15" i="66"/>
  <c r="L14" i="66"/>
  <c r="L13" i="66"/>
  <c r="L12" i="66"/>
  <c r="O11" i="66"/>
  <c r="L11" i="66"/>
  <c r="O10" i="66"/>
  <c r="L10" i="66"/>
  <c r="O9" i="66"/>
  <c r="L9" i="66"/>
  <c r="E9" i="66"/>
  <c r="W8" i="66"/>
  <c r="T6" i="66" s="1"/>
  <c r="E7" i="66" s="1"/>
  <c r="O8" i="66"/>
  <c r="L8" i="66"/>
  <c r="E8" i="66"/>
  <c r="T7" i="66"/>
  <c r="L7" i="66"/>
  <c r="U5" i="66"/>
  <c r="T5" i="66"/>
  <c r="E6" i="66" s="1"/>
  <c r="X34" i="65"/>
  <c r="W34" i="65"/>
  <c r="AA64" i="64"/>
  <c r="F8" i="65" s="1"/>
  <c r="X13" i="56" s="1"/>
  <c r="X19" i="56" s="1"/>
  <c r="Z64" i="64"/>
  <c r="Z65" i="64" s="1"/>
  <c r="Y64" i="64"/>
  <c r="Y65" i="64" s="1"/>
  <c r="X64" i="64"/>
  <c r="X65" i="64" s="1"/>
  <c r="V64" i="64"/>
  <c r="AA62" i="64"/>
  <c r="AA61" i="64"/>
  <c r="AA60" i="64"/>
  <c r="AA59" i="64"/>
  <c r="Y20" i="64"/>
  <c r="Y22" i="64" s="1"/>
  <c r="W20" i="64"/>
  <c r="AA19" i="64"/>
  <c r="W19" i="64"/>
  <c r="W18" i="64"/>
  <c r="AA18" i="64" s="1"/>
  <c r="W17" i="64"/>
  <c r="AA17" i="64" s="1"/>
  <c r="O50" i="62"/>
  <c r="O49" i="62"/>
  <c r="O48" i="62"/>
  <c r="P48" i="62" s="1"/>
  <c r="P47" i="62"/>
  <c r="O47" i="62"/>
  <c r="O13" i="62"/>
  <c r="N13" i="62"/>
  <c r="O12" i="62"/>
  <c r="O14" i="62" s="1"/>
  <c r="N12" i="62"/>
  <c r="E26" i="61"/>
  <c r="E25" i="61"/>
  <c r="E24" i="61"/>
  <c r="E22" i="61"/>
  <c r="I16" i="61"/>
  <c r="I15" i="61"/>
  <c r="J12" i="61"/>
  <c r="I12" i="61"/>
  <c r="J11" i="61"/>
  <c r="I11" i="61" s="1"/>
  <c r="I9" i="61"/>
  <c r="I6" i="61"/>
  <c r="L12" i="65" l="1"/>
  <c r="I12" i="65"/>
  <c r="G12" i="65"/>
  <c r="H12" i="65"/>
  <c r="H40" i="65"/>
  <c r="I40" i="65"/>
  <c r="G40" i="65"/>
  <c r="H41" i="65"/>
  <c r="G41" i="65"/>
  <c r="I41" i="65"/>
  <c r="L41" i="65"/>
  <c r="J41" i="65"/>
  <c r="K41" i="65"/>
  <c r="J40" i="65"/>
  <c r="L40" i="65"/>
  <c r="K40" i="65"/>
  <c r="G5" i="69"/>
  <c r="K12" i="65"/>
  <c r="J12" i="65"/>
  <c r="G6" i="69"/>
  <c r="G4" i="69"/>
  <c r="G7" i="69"/>
  <c r="V14" i="67"/>
  <c r="R54" i="67"/>
  <c r="U14" i="67"/>
  <c r="S14" i="67"/>
  <c r="R14" i="67"/>
  <c r="V15" i="67"/>
  <c r="U15" i="67"/>
  <c r="R26" i="67" s="1"/>
  <c r="S15" i="67"/>
  <c r="P26" i="67" s="1"/>
  <c r="R15" i="67"/>
  <c r="O26" i="67" s="1"/>
  <c r="S55" i="67"/>
  <c r="AD54" i="67"/>
  <c r="AJ15" i="67"/>
  <c r="F9" i="65"/>
  <c r="Y14" i="56" s="1"/>
  <c r="Y20" i="56" s="1"/>
  <c r="AE54" i="67"/>
  <c r="AJ16" i="67"/>
  <c r="B46" i="67"/>
  <c r="C46" i="67"/>
  <c r="AB54" i="67"/>
  <c r="AJ13" i="67"/>
  <c r="AB55" i="67"/>
  <c r="AG55" i="67" s="1"/>
  <c r="Q11" i="67"/>
  <c r="P12" i="67"/>
  <c r="Q12" i="67" s="1"/>
  <c r="Q25" i="67"/>
  <c r="Y32" i="65"/>
  <c r="Q54" i="67"/>
  <c r="V13" i="67"/>
  <c r="U13" i="67"/>
  <c r="R13" i="67"/>
  <c r="I19" i="61"/>
  <c r="E23" i="61"/>
  <c r="AJ17" i="67"/>
  <c r="AF55" i="67"/>
  <c r="D15" i="67"/>
  <c r="T13" i="67" s="1"/>
  <c r="AA20" i="64"/>
  <c r="AA22" i="64" s="1"/>
  <c r="C13" i="67"/>
  <c r="AC55" i="67"/>
  <c r="D13" i="67"/>
  <c r="S13" i="67" s="1"/>
  <c r="AC64" i="64"/>
  <c r="F8" i="67"/>
  <c r="C12" i="67"/>
  <c r="D12" i="67"/>
  <c r="C14" i="67"/>
  <c r="D29" i="27" l="1"/>
  <c r="G13" i="65"/>
  <c r="H13" i="65"/>
  <c r="I13" i="65"/>
  <c r="H32" i="65"/>
  <c r="I32" i="65"/>
  <c r="G32" i="65"/>
  <c r="J32" i="65"/>
  <c r="K32" i="65"/>
  <c r="L32" i="65"/>
  <c r="L13" i="65"/>
  <c r="K13" i="65"/>
  <c r="J13" i="65"/>
  <c r="P24" i="67"/>
  <c r="X33" i="65"/>
  <c r="P25" i="67"/>
  <c r="X32" i="65"/>
  <c r="W32" i="65"/>
  <c r="R25" i="67"/>
  <c r="AG54" i="67"/>
  <c r="Q24" i="67"/>
  <c r="Y33" i="65"/>
  <c r="O24" i="67"/>
  <c r="V33" i="65"/>
  <c r="V12" i="67"/>
  <c r="P54" i="67"/>
  <c r="P55" i="67" s="1"/>
  <c r="T12" i="67"/>
  <c r="R12" i="67"/>
  <c r="E27" i="61"/>
  <c r="R24" i="67"/>
  <c r="W33" i="65"/>
  <c r="O25" i="67"/>
  <c r="V11" i="67"/>
  <c r="U11" i="67"/>
  <c r="R11" i="67"/>
  <c r="O54" i="67"/>
  <c r="D30" i="27" l="1"/>
  <c r="G35" i="65"/>
  <c r="I35" i="65"/>
  <c r="H35" i="65"/>
  <c r="I37" i="65"/>
  <c r="G37" i="65"/>
  <c r="H37" i="65"/>
  <c r="I30" i="65"/>
  <c r="G30" i="65"/>
  <c r="H30" i="65"/>
  <c r="I31" i="65"/>
  <c r="H31" i="65"/>
  <c r="G31" i="65"/>
  <c r="I36" i="65"/>
  <c r="G36" i="65"/>
  <c r="H36" i="65"/>
  <c r="G34" i="65"/>
  <c r="I34" i="65"/>
  <c r="H34" i="65"/>
  <c r="J34" i="65"/>
  <c r="K34" i="65"/>
  <c r="L34" i="65"/>
  <c r="L63" i="65" s="1"/>
  <c r="J30" i="65"/>
  <c r="L30" i="65"/>
  <c r="K30" i="65"/>
  <c r="L36" i="65"/>
  <c r="K36" i="65"/>
  <c r="J36" i="65"/>
  <c r="J35" i="65"/>
  <c r="K35" i="65"/>
  <c r="L35" i="65"/>
  <c r="L37" i="65"/>
  <c r="J37" i="65"/>
  <c r="K37" i="65"/>
  <c r="L31" i="65"/>
  <c r="K31" i="65"/>
  <c r="J31" i="65"/>
  <c r="V34" i="65"/>
  <c r="O23" i="67"/>
  <c r="F24" i="61"/>
  <c r="F27" i="61"/>
  <c r="F25" i="61"/>
  <c r="F22" i="61"/>
  <c r="F26" i="61"/>
  <c r="T54" i="67"/>
  <c r="O55" i="67"/>
  <c r="T55" i="67" s="1"/>
  <c r="F23" i="61"/>
  <c r="Y34" i="65"/>
  <c r="Q23" i="67"/>
  <c r="O22" i="67"/>
  <c r="V35" i="65"/>
  <c r="W35" i="65"/>
  <c r="R22" i="67"/>
  <c r="H52" i="65" l="1"/>
  <c r="I45" i="65"/>
  <c r="I51" i="65" s="1"/>
  <c r="H45" i="65"/>
  <c r="H51" i="65" s="1"/>
  <c r="G45" i="65"/>
  <c r="G51" i="65" s="1"/>
  <c r="G39" i="65"/>
  <c r="I39" i="65"/>
  <c r="H39" i="65"/>
  <c r="G44" i="65"/>
  <c r="I44" i="65"/>
  <c r="H44" i="65"/>
  <c r="I52" i="65"/>
  <c r="G42" i="65"/>
  <c r="G53" i="65" s="1"/>
  <c r="I42" i="65"/>
  <c r="I53" i="65" s="1"/>
  <c r="H42" i="65"/>
  <c r="H53" i="65" s="1"/>
  <c r="G52" i="65"/>
  <c r="J45" i="65"/>
  <c r="L45" i="65"/>
  <c r="L51" i="65" s="1"/>
  <c r="K45" i="65"/>
  <c r="K51" i="65" s="1"/>
  <c r="J51" i="65"/>
  <c r="J52" i="65"/>
  <c r="J39" i="65"/>
  <c r="J50" i="65" s="1"/>
  <c r="J55" i="65" s="1"/>
  <c r="K39" i="65"/>
  <c r="L39" i="65"/>
  <c r="L64" i="65" s="1"/>
  <c r="L42" i="65"/>
  <c r="L53" i="65" s="1"/>
  <c r="J42" i="65"/>
  <c r="J53" i="65" s="1"/>
  <c r="K42" i="65"/>
  <c r="K53" i="65" s="1"/>
  <c r="L52" i="65"/>
  <c r="K52" i="65"/>
  <c r="J44" i="65"/>
  <c r="L44" i="65"/>
  <c r="K44" i="65"/>
  <c r="I13" i="56"/>
  <c r="C14" i="29"/>
  <c r="B14" i="29"/>
  <c r="G50" i="65" l="1"/>
  <c r="I50" i="65"/>
  <c r="I55" i="65" s="1"/>
  <c r="G55" i="65"/>
  <c r="K50" i="65"/>
  <c r="K55" i="65" s="1"/>
  <c r="H50" i="65"/>
  <c r="H55" i="65" s="1"/>
  <c r="L65" i="65"/>
  <c r="L50" i="65"/>
  <c r="L55" i="65" s="1"/>
  <c r="B11" i="27"/>
  <c r="E9" i="56"/>
  <c r="E10" i="56"/>
  <c r="E11" i="56"/>
  <c r="C8" i="30"/>
  <c r="C9" i="29"/>
  <c r="B9" i="29"/>
  <c r="B10" i="27"/>
  <c r="A10" i="27"/>
  <c r="A11" i="27"/>
  <c r="B12" i="27"/>
  <c r="A12" i="27"/>
  <c r="L13" i="56" l="1"/>
  <c r="V5" i="56" l="1"/>
  <c r="U5" i="56"/>
  <c r="T5" i="56"/>
  <c r="C10" i="31" l="1"/>
  <c r="B10" i="31"/>
  <c r="C13" i="29" l="1"/>
  <c r="C12" i="29"/>
  <c r="C11" i="29"/>
  <c r="C10" i="29"/>
  <c r="B13" i="29"/>
  <c r="B12" i="29"/>
  <c r="B11" i="29"/>
  <c r="B10" i="29"/>
  <c r="J13" i="56" l="1"/>
  <c r="E8" i="60"/>
  <c r="E9" i="60"/>
  <c r="A2" i="56"/>
  <c r="D10" i="60" s="1"/>
  <c r="A2" i="31"/>
  <c r="A2" i="30"/>
  <c r="D8" i="60" s="1"/>
  <c r="A2" i="29"/>
  <c r="E7" i="60"/>
  <c r="D9" i="60" l="1"/>
  <c r="K13" i="56"/>
  <c r="D7" i="60"/>
  <c r="A1" i="29" l="1"/>
  <c r="A1" i="30"/>
  <c r="A1" i="31"/>
  <c r="D9" i="56" l="1"/>
  <c r="A8" i="56"/>
  <c r="B1" i="56"/>
  <c r="I11" i="27"/>
  <c r="I13" i="27" s="1"/>
  <c r="H11" i="27"/>
  <c r="H13" i="27" s="1"/>
  <c r="B4" i="27"/>
  <c r="A4" i="27"/>
  <c r="C4" i="27"/>
  <c r="S5" i="56" l="1"/>
  <c r="X5" i="56" s="1"/>
  <c r="B9" i="31"/>
  <c r="B9" i="56" s="1"/>
  <c r="H10" i="27"/>
  <c r="H12" i="27" s="1"/>
  <c r="D4" i="27"/>
  <c r="C9" i="31" l="1"/>
  <c r="C9" i="56" s="1"/>
  <c r="I10" i="27"/>
  <c r="I12" i="27" s="1"/>
  <c r="B1" i="31" l="1"/>
  <c r="B1" i="30"/>
  <c r="M63" i="65" l="1"/>
  <c r="M65" i="65"/>
  <c r="N70" i="65"/>
  <c r="M70" i="65"/>
  <c r="D23" i="27"/>
  <c r="D22" i="27"/>
  <c r="M64" i="65"/>
  <c r="N75" i="65"/>
  <c r="D20" i="27" l="1"/>
  <c r="K10" i="27" s="1"/>
  <c r="T9" i="56" s="1"/>
  <c r="T15" i="56" s="1"/>
  <c r="D21" i="27"/>
  <c r="K11" i="27" s="1"/>
  <c r="U10" i="56" s="1"/>
  <c r="U16" i="56" s="1"/>
  <c r="M62" i="65"/>
  <c r="E11" i="66"/>
  <c r="E12" i="66" s="1"/>
  <c r="E16" i="66" s="1"/>
  <c r="K12" i="27"/>
  <c r="V11" i="56" s="1"/>
  <c r="V17" i="56" s="1"/>
  <c r="K13" i="27"/>
  <c r="W12" i="56" s="1"/>
  <c r="W18" i="56" s="1"/>
  <c r="D24" i="27" l="1"/>
  <c r="A1" i="56" l="1"/>
  <c r="A1" i="7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</authors>
  <commentList>
    <comment ref="E12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3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tc={E88FE079-B478-4407-94CD-DA593F2B7F90}</author>
    <author>tc={EE5B7DE6-5DDF-43C2-AE46-F1DAD2057621}</author>
    <author>tc={1BADCB60-4A53-4677-8804-80A0425E6F8A}</author>
  </authors>
  <commentList>
    <comment ref="C5" authorId="0" shapeId="0" xr:uid="{E88FE079-B478-4407-94CD-DA593F2B7F9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E16" authorId="1" shapeId="0" xr:uid="{EE5B7DE6-5DDF-43C2-AE46-F1DAD2057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E17" authorId="2" shapeId="0" xr:uid="{1BADCB60-4A53-4677-8804-80A0425E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tc={AA05C491-62CE-4DC7-B36B-B11B9F980D40}</author>
    <author>tc={6B98113D-6081-4E48-AE75-F78FE6672444}</author>
    <author>tc={AC92CB56-82DB-4B5D-B941-DF705CEAD5C7}</author>
    <author>tc={18658949-528A-4F4B-9C56-C58A62EC879B}</author>
    <author>tc={6145DA79-D051-4047-9F27-84C2E951044F}</author>
    <author>tc={0A59BDF7-4D46-46BA-90DA-BB7CD1EFD7CF}</author>
    <author>tc={9764F060-7DB0-493B-A7E3-3A98617B94B8}</author>
    <author>tc={E523209E-A9A9-4704-835D-C67239D35F48}</author>
    <author>tc={813F39A1-7752-4FE7-AB6E-7D2209CAB369}</author>
    <author>tc={A1B953A0-D992-4761-B95D-70CFA376128C}</author>
    <author>tc={7D5A5BA3-FB39-4533-875B-585051EE6749}</author>
    <author>tc={E2D5D6DA-DA59-4861-B548-3D0F447C0832}</author>
  </authors>
  <commentList>
    <comment ref="A2" authorId="0" shapeId="0" xr:uid="{AA05C491-62CE-4DC7-B36B-B11B9F980D4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J3" authorId="1" shapeId="0" xr:uid="{6B98113D-6081-4E48-AE75-F78FE667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O3" authorId="2" shapeId="0" xr:uid="{AC92CB56-82DB-4B5D-B941-DF705CEAD5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hypothesis
Reply:
    actual 2018 production volume</t>
      </text>
    </comment>
    <comment ref="N5" authorId="3" shapeId="0" xr:uid="{18658949-528A-4F4B-9C56-C58A62EC8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content per processsed material used along with tPGMs basis, to obtain material broken or milled etc as per energy intensity of operations.</t>
      </text>
    </comment>
    <comment ref="AD5" authorId="4" shapeId="0" xr:uid="{6145DA79-D051-4047-9F27-84C2E951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ore to waste ratio (5:10)
Reply:
    PGE Production in Southern Africa, Part II:
Environmental Aspects</t>
      </text>
    </comment>
    <comment ref="A10" authorId="5" shapeId="0" xr:uid="{0A59BDF7-4D46-46BA-90DA-BB7CD1EFD7CF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E12" authorId="6" shapeId="0" xr:uid="{9764F060-7DB0-493B-A7E3-3A98617B94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add data when doing overall emissions comparison, plus use 2019 grid.</t>
      </text>
    </comment>
    <comment ref="I13" authorId="7" shapeId="0" xr:uid="{E523209E-A9A9-4704-835D-C67239D35F4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liquid fuels only when modeling because difficult to model this way.</t>
      </text>
    </comment>
    <comment ref="C21" authorId="8" shapeId="0" xr:uid="{813F39A1-7752-4FE7-AB6E-7D2209CAB3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C22" authorId="9" shapeId="0" xr:uid="{A1B953A0-D992-4761-B95D-70CFA376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A25" authorId="10" shapeId="0" xr:uid="{7D5A5BA3-FB39-4533-875B-585051EE674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32" authorId="11" shapeId="0" xr:uid="{E2D5D6DA-DA59-4861-B548-3D0F447C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Production in Southern Africa, Part II:
Environmental Aspects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tc={AA4B25D4-7DBE-41D2-9B54-DAD2ADA2BB92}</author>
  </authors>
  <commentList>
    <comment ref="I4" authorId="0" shapeId="0" xr:uid="{AA4B25D4-7DBE-41D2-9B54-DAD2ADA2BB92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with Gross. Need to add beneficiation as a separate activity/technology in the model.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<sst xmlns="http://schemas.openxmlformats.org/spreadsheetml/2006/main" count="1176" uniqueCount="593">
  <si>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</si>
  <si>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</si>
  <si>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</si>
  <si>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</si>
  <si>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</si>
  <si>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</si>
  <si>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</si>
  <si>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</si>
  <si>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</si>
  <si>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</si>
  <si>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</si>
  <si>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</si>
  <si>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</si>
  <si>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</si>
  <si>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</si>
  <si>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</si>
  <si>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</si>
  <si>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</si>
  <si>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</si>
  <si>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</si>
  <si>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</si>
  <si>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</si>
  <si>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</si>
  <si>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</si>
  <si>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</si>
  <si>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</si>
  <si>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</si>
  <si>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</si>
  <si>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</si>
  <si>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</si>
  <si>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</si>
  <si>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</si>
  <si>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</si>
  <si>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</si>
  <si>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</si>
  <si>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</si>
  <si>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</si>
  <si>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</si>
  <si>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</si>
  <si>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</si>
  <si>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</si>
  <si>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</si>
  <si>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</si>
  <si>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</si>
  <si>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</si>
  <si>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</si>
  <si>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</si>
  <si>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</si>
  <si>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</si>
  <si>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</si>
  <si>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</si>
  <si>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</si>
  <si>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</si>
  <si>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</si>
  <si>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</si>
  <si>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</si>
  <si>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</si>
  <si>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</si>
  <si>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</si>
  <si>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</si>
  <si>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</si>
  <si>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</si>
  <si>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</si>
  <si>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</si>
  <si>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</si>
  <si>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</si>
  <si>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</si>
  <si>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</si>
  <si>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</si>
  <si>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</si>
  <si>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</si>
  <si>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</si>
  <si>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</si>
  <si>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</si>
  <si>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</si>
  <si>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</si>
  <si>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</si>
  <si>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</si>
  <si>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</si>
  <si>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</si>
  <si>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</si>
  <si>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</si>
  <si>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</si>
  <si>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</si>
  <si>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</si>
  <si>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</si>
  <si>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</si>
  <si>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</si>
  <si>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</si>
  <si>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</si>
  <si>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</si>
  <si>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</si>
  <si>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</si>
  <si>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</si>
  <si>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</si>
  <si>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</si>
  <si>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</si>
  <si>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</si>
  <si>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</si>
  <si>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</si>
  <si>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</si>
  <si>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</si>
  <si>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</si>
  <si>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</si>
  <si>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</si>
  <si>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</si>
  <si>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</si>
  <si>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</si>
  <si>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</si>
  <si>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</si>
  <si>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</si>
  <si>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</si>
  <si>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</si>
  <si>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</si>
  <si>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</si>
  <si>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</si>
  <si>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</si>
  <si>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</si>
  <si>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</si>
  <si>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</si>
  <si>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</si>
  <si>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</si>
  <si>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</si>
  <si>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</si>
  <si>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</si>
  <si>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</si>
  <si>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</si>
  <si>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</si>
  <si>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</si>
  <si>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</si>
  <si>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</si>
  <si>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</si>
  <si>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</si>
  <si>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</si>
  <si>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</si>
  <si>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</si>
  <si>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</si>
  <si>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</si>
  <si>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</si>
  <si>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</si>
  <si>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</si>
  <si>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</si>
  <si>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</si>
  <si>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</si>
  <si>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</si>
  <si>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</si>
  <si>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</si>
  <si>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Main activity flow</t>
  </si>
  <si>
    <t>Relationship between main activity flow and other flows</t>
  </si>
  <si>
    <t>Capacity to Activity</t>
  </si>
  <si>
    <t>Main activity efficiency</t>
  </si>
  <si>
    <t>PRC_RESID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</si>
  <si>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</si>
  <si>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</si>
  <si>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</si>
  <si>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</si>
  <si>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</si>
  <si>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</si>
  <si>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</si>
  <si>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</si>
  <si>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CV (MJ/kg)</t>
  </si>
  <si>
    <t>2017 Energy/Commodity Balance</t>
  </si>
  <si>
    <t>Exports/Links/Demands</t>
  </si>
  <si>
    <t>CO2SP</t>
  </si>
  <si>
    <t>Process Emissions South Africa</t>
  </si>
  <si>
    <t>CH4S</t>
  </si>
  <si>
    <t>CH4S South Africa</t>
  </si>
  <si>
    <t>Retirement Profile needs to be fine tuned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</si>
  <si>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</si>
  <si>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</si>
  <si>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</si>
  <si>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</si>
  <si>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</si>
  <si>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</si>
  <si>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</si>
  <si>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</si>
  <si>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</si>
  <si>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</si>
  <si>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Electricity</t>
  </si>
  <si>
    <t>Gas</t>
  </si>
  <si>
    <t>Diesel</t>
  </si>
  <si>
    <t>Sector energy balance (PJ)</t>
  </si>
  <si>
    <t>Industry - NonFerrous - Gas</t>
  </si>
  <si>
    <t>Industry - NonFerrous - Electricity</t>
  </si>
  <si>
    <t>Pt</t>
  </si>
  <si>
    <t>Other PGMs</t>
  </si>
  <si>
    <t>INDODS</t>
  </si>
  <si>
    <t>SAMI report 2017-2018 - Table 2 - major minerals production</t>
  </si>
  <si>
    <t>COMMODITY</t>
  </si>
  <si>
    <t>UNIT</t>
  </si>
  <si>
    <t>tonnes of ore:</t>
  </si>
  <si>
    <t>t</t>
  </si>
  <si>
    <t>Cobalt</t>
  </si>
  <si>
    <t>Copper</t>
  </si>
  <si>
    <t>Chromite</t>
  </si>
  <si>
    <t>Diamonds</t>
  </si>
  <si>
    <t>ct</t>
  </si>
  <si>
    <t>Buchspies et al 2017</t>
  </si>
  <si>
    <t>Gold</t>
  </si>
  <si>
    <t>kg</t>
  </si>
  <si>
    <t>kgs/tonne ore</t>
  </si>
  <si>
    <t>DOI: 10.3390/min7110225.</t>
  </si>
  <si>
    <t>PGMs</t>
  </si>
  <si>
    <t>g/tonne ore</t>
  </si>
  <si>
    <t>Nickel</t>
  </si>
  <si>
    <t>Lead</t>
  </si>
  <si>
    <t>Manganese</t>
  </si>
  <si>
    <t>Iron Ore</t>
  </si>
  <si>
    <t>Zinc</t>
  </si>
  <si>
    <t>tonnes</t>
  </si>
  <si>
    <t>Gold+PGM ores</t>
  </si>
  <si>
    <t>Chrome ores</t>
  </si>
  <si>
    <t>Iron ore</t>
  </si>
  <si>
    <t>Students report (2020)</t>
  </si>
  <si>
    <t>Production of PGM for 2019</t>
  </si>
  <si>
    <t>MINES</t>
  </si>
  <si>
    <t>Quantity (tonnes)</t>
  </si>
  <si>
    <t>Percentage production (%)</t>
  </si>
  <si>
    <t>Anglo American Platinum</t>
  </si>
  <si>
    <t>Sibanye Stillwater</t>
  </si>
  <si>
    <t>Impala Platinum</t>
  </si>
  <si>
    <t>Northam</t>
  </si>
  <si>
    <t>Total</t>
  </si>
  <si>
    <t>from students report but they adapted it from Mudd 2005</t>
  </si>
  <si>
    <t>Table 5</t>
  </si>
  <si>
    <t>Energy carrier</t>
  </si>
  <si>
    <t>Mining</t>
  </si>
  <si>
    <t>Concentrate</t>
  </si>
  <si>
    <t>Smelting</t>
  </si>
  <si>
    <t>Refining</t>
  </si>
  <si>
    <t>Kell
process</t>
  </si>
  <si>
    <t>-</t>
  </si>
  <si>
    <t>Liquid fuel</t>
  </si>
  <si>
    <t>Table 6</t>
  </si>
  <si>
    <t>Process stage</t>
  </si>
  <si>
    <t>Energy intensity</t>
  </si>
  <si>
    <t>GJ/t broken</t>
  </si>
  <si>
    <t>GJ/t milled</t>
  </si>
  <si>
    <t>GJ/t concentrate to smelters</t>
  </si>
  <si>
    <t>Kell process</t>
  </si>
  <si>
    <t>GJ/t concentrate to process</t>
  </si>
  <si>
    <t>Jones 2005:</t>
  </si>
  <si>
    <t>Material</t>
  </si>
  <si>
    <t>Content</t>
  </si>
  <si>
    <t>Ore</t>
  </si>
  <si>
    <t>concentrate</t>
  </si>
  <si>
    <t>converter matte</t>
  </si>
  <si>
    <t>BMR leach residue</t>
  </si>
  <si>
    <t>PMR product</t>
  </si>
  <si>
    <t>Sectors</t>
  </si>
  <si>
    <t>SIC Code</t>
  </si>
  <si>
    <t>PGM mining</t>
  </si>
  <si>
    <t>24240a</t>
  </si>
  <si>
    <t xml:space="preserve">this specifically doesn’t include gold. But it does probably include smelting operations. </t>
  </si>
  <si>
    <t>Refining of precious metals, e.g. gold, silver, platinum</t>
  </si>
  <si>
    <t>35201a</t>
  </si>
  <si>
    <t>ESKOM sales data</t>
  </si>
  <si>
    <t>Total Consumption (kWh)</t>
  </si>
  <si>
    <t>CM Actual</t>
  </si>
  <si>
    <t>Total.Tariffs</t>
  </si>
  <si>
    <t>Total.Customers</t>
  </si>
  <si>
    <t xml:space="preserve">          24240-Platinum group metals</t>
  </si>
  <si>
    <t>mining</t>
  </si>
  <si>
    <t xml:space="preserve">          35201-Refining of precious metals,e.</t>
  </si>
  <si>
    <t>ESKOM SALES - all mining</t>
  </si>
  <si>
    <t>Eskom sales for mining</t>
  </si>
  <si>
    <t>ALL 2016 numbers</t>
  </si>
  <si>
    <t>kWh</t>
  </si>
  <si>
    <t>All mining</t>
  </si>
  <si>
    <t xml:space="preserve">          21000-MINING OF COAL &amp; LIGNITE</t>
  </si>
  <si>
    <t>Coal mining</t>
  </si>
  <si>
    <t xml:space="preserve">          23000-MINING OF GOLD &amp; URANIUM ORE</t>
  </si>
  <si>
    <t>Other</t>
  </si>
  <si>
    <t>PGM</t>
  </si>
  <si>
    <t xml:space="preserve">          24100-MINING OF IRON ORE</t>
  </si>
  <si>
    <t>All other mining</t>
  </si>
  <si>
    <t xml:space="preserve">          24210-Chrome</t>
  </si>
  <si>
    <t xml:space="preserve">          24220-Copper</t>
  </si>
  <si>
    <t xml:space="preserve">          24230-Manganese</t>
  </si>
  <si>
    <t xml:space="preserve">          24290-Other metal ore mining,except</t>
  </si>
  <si>
    <t xml:space="preserve">          25110-Dimension stone (granite,marbl</t>
  </si>
  <si>
    <t xml:space="preserve">          25120-Limestone &amp; limeworks</t>
  </si>
  <si>
    <t xml:space="preserve">          25190-Other stone quarrying,includin</t>
  </si>
  <si>
    <t xml:space="preserve">          25200-MINING OF DIAMONDS (INCLUDING</t>
  </si>
  <si>
    <t xml:space="preserve">          25311-Phosphates</t>
  </si>
  <si>
    <t xml:space="preserve">          25319-Other chemical &amp; fertiliser mi</t>
  </si>
  <si>
    <t xml:space="preserve">          25391-Mining of precious &amp; semi-prec</t>
  </si>
  <si>
    <t xml:space="preserve">          25399-Other minerals &amp; materials n.e</t>
  </si>
  <si>
    <t xml:space="preserve">          29000-SERVICE ACTIVITIES INCIDENTAL</t>
  </si>
  <si>
    <t xml:space="preserve">          35202-Manufacture of primary non-ferrous metal products, excluding</t>
  </si>
  <si>
    <t>Composition of energy consumption</t>
  </si>
  <si>
    <t xml:space="preserve">Energy carrier </t>
  </si>
  <si>
    <t xml:space="preserve">Mining </t>
  </si>
  <si>
    <t xml:space="preserve">Electricity </t>
  </si>
  <si>
    <t xml:space="preserve">Coal </t>
  </si>
  <si>
    <t xml:space="preserve">Liquid fuel </t>
  </si>
  <si>
    <t xml:space="preserve">Gas </t>
  </si>
  <si>
    <t>Energy intensity per operation</t>
  </si>
  <si>
    <t>Mudd et al</t>
  </si>
  <si>
    <t>The Environmental Costs of Platinum-PGM Mining:
An Excellent Case Study In Sustainable Mining</t>
  </si>
  <si>
    <t>Elec</t>
  </si>
  <si>
    <t>Direct</t>
  </si>
  <si>
    <t>Indirect</t>
  </si>
  <si>
    <t>GJ/kg PGM</t>
  </si>
  <si>
    <t>Implats</t>
  </si>
  <si>
    <t>Lonmin</t>
  </si>
  <si>
    <t>AngoPlat</t>
  </si>
  <si>
    <t xml:space="preserve">use avg. </t>
  </si>
  <si>
    <t>Mt Ore</t>
  </si>
  <si>
    <t>platinum</t>
  </si>
  <si>
    <t>Palladium</t>
  </si>
  <si>
    <t>Rhodium</t>
  </si>
  <si>
    <t>total PGM</t>
  </si>
  <si>
    <t>ALL</t>
  </si>
  <si>
    <t>Zimplats</t>
  </si>
  <si>
    <t>Stillwater USA</t>
  </si>
  <si>
    <t>Lac de illes</t>
  </si>
  <si>
    <t>SA only</t>
  </si>
  <si>
    <t>Production</t>
  </si>
  <si>
    <t>Platinum</t>
  </si>
  <si>
    <t>from Mudd 2009 paper</t>
  </si>
  <si>
    <t>For calibration to other sectors:</t>
  </si>
  <si>
    <t>Allocate from:</t>
  </si>
  <si>
    <t>PNF</t>
  </si>
  <si>
    <t>Concentrating</t>
  </si>
  <si>
    <t>Coke</t>
  </si>
  <si>
    <t>Oil Diesel</t>
  </si>
  <si>
    <t>Oil HFO</t>
  </si>
  <si>
    <t>Ferro Alloys</t>
  </si>
  <si>
    <t>Intensity values</t>
  </si>
  <si>
    <t>PJ/tonne PGM</t>
  </si>
  <si>
    <t>Iron &amp; Steel</t>
  </si>
  <si>
    <t>Chemicals</t>
  </si>
  <si>
    <t>Aluminium</t>
  </si>
  <si>
    <t>Precious &amp; Non-Ferrous metals</t>
  </si>
  <si>
    <t>N.M.M Products</t>
  </si>
  <si>
    <t>Food, Beverage &amp; Tabacco</t>
  </si>
  <si>
    <t>Pulp &amp; Paper Products</t>
  </si>
  <si>
    <t>Costs</t>
  </si>
  <si>
    <t>mR/tonne</t>
  </si>
  <si>
    <t>Quick estimate for PGM sector costs:</t>
  </si>
  <si>
    <t>From: https://www.bullionvault.com/platinum-price-chart.do</t>
  </si>
  <si>
    <t xml:space="preserve">Fuel prices </t>
  </si>
  <si>
    <t>R/GJ</t>
  </si>
  <si>
    <t>c/kWh</t>
  </si>
  <si>
    <t>Fuel:</t>
  </si>
  <si>
    <t>GJ/tonne</t>
  </si>
  <si>
    <t>Price R/GJ</t>
  </si>
  <si>
    <t>USD/kg</t>
  </si>
  <si>
    <t>Date</t>
  </si>
  <si>
    <t>High (kg)</t>
  </si>
  <si>
    <t>Low (kg)</t>
  </si>
  <si>
    <t>Close (kg)</t>
  </si>
  <si>
    <t>Avg USD/kg</t>
  </si>
  <si>
    <t>c/L</t>
  </si>
  <si>
    <t>DOE price for July 2019</t>
  </si>
  <si>
    <t>MJ/L</t>
  </si>
  <si>
    <t>c/MJ</t>
  </si>
  <si>
    <t>R/tonne</t>
  </si>
  <si>
    <t xml:space="preserve">coal for industries in 2017. Xavier </t>
  </si>
  <si>
    <t>total R/tonne</t>
  </si>
  <si>
    <t>cost R/kg</t>
  </si>
  <si>
    <t>energy costs</t>
  </si>
  <si>
    <t>Eskom 2019/2020 Megaflex rates</t>
  </si>
  <si>
    <t>Anglo Unit cost R/kg</t>
  </si>
  <si>
    <t>Less energy costs:</t>
  </si>
  <si>
    <t>Active energy charge [c/kWh]</t>
  </si>
  <si>
    <t>Transmission network charges [R/kVA/m]</t>
  </si>
  <si>
    <t>High demand season [Jun - Aug]</t>
  </si>
  <si>
    <t>Low demand season [Sep - May]</t>
  </si>
  <si>
    <t>Voltage</t>
  </si>
  <si>
    <t>Peak</t>
  </si>
  <si>
    <t>Standard</t>
  </si>
  <si>
    <t>Off Peak</t>
  </si>
  <si>
    <t>VAT incl</t>
  </si>
  <si>
    <t>&lt;300km</t>
  </si>
  <si>
    <t>&lt; 500V</t>
  </si>
  <si>
    <t>≥ 500V &amp; &lt; 66kV</t>
  </si>
  <si>
    <t>≥ 66kV &amp; ≤ 132kV</t>
  </si>
  <si>
    <t>&gt; 132kV*</t>
  </si>
  <si>
    <t>300-600km</t>
  </si>
  <si>
    <t>Anglo plat report 2020, pg5</t>
  </si>
  <si>
    <t>R/oz</t>
  </si>
  <si>
    <t>R/kg</t>
  </si>
  <si>
    <t>CONVENTIONAL PGM PRODUCTION DATA</t>
  </si>
  <si>
    <t>KELL PROCESS (BMR &amp; PMR) DATA</t>
  </si>
  <si>
    <t>ENERGY CONSUMPTION COMPARISON</t>
  </si>
  <si>
    <t>EMISSIONS COMPARISON</t>
  </si>
  <si>
    <t>Energy consumption</t>
  </si>
  <si>
    <t>Energy carrier (PJ)</t>
  </si>
  <si>
    <t xml:space="preserve">GJ/t concentrate </t>
  </si>
  <si>
    <t>BASIS</t>
  </si>
  <si>
    <t>t PGMs</t>
  </si>
  <si>
    <t>Carbon intensity (kg CO2/ GJ)</t>
  </si>
  <si>
    <t>Energy per carrier (PJ)</t>
  </si>
  <si>
    <t>Electricity grid</t>
  </si>
  <si>
    <t>Stage</t>
  </si>
  <si>
    <t>Liquid fuels</t>
  </si>
  <si>
    <t>CO2/MWh</t>
  </si>
  <si>
    <t>PGM containing material</t>
  </si>
  <si>
    <t xml:space="preserve">Gas + Liquid fuel </t>
  </si>
  <si>
    <t>Ore (t)</t>
  </si>
  <si>
    <t>Concentrate (t)</t>
  </si>
  <si>
    <t>PMR product (t)</t>
  </si>
  <si>
    <t>Carbon intensity</t>
  </si>
  <si>
    <t>CO2 intensity (kg CO2/ GJ)</t>
  </si>
  <si>
    <t>Feed type</t>
  </si>
  <si>
    <t>material flow (t)</t>
  </si>
  <si>
    <t>Total Energy consumed (PJ)</t>
  </si>
  <si>
    <t>Energy intensity (PJ/ tPGMs)</t>
  </si>
  <si>
    <t>Emissions per carrier (kt)</t>
  </si>
  <si>
    <t>Carbon intensity (kt/tPGMs)</t>
  </si>
  <si>
    <t>Concentrate to smelter</t>
  </si>
  <si>
    <t>Concentrate to  process</t>
  </si>
  <si>
    <t>DIRECT EMISSIONS PER PROCESS OPERATION</t>
  </si>
  <si>
    <t>ENERGY CONSUMPTION PER PROCESS OPERATION</t>
  </si>
  <si>
    <t>Concentration</t>
  </si>
  <si>
    <t>CO2 intensity per energy carrier</t>
  </si>
  <si>
    <t>CO2 emissions (t)</t>
  </si>
  <si>
    <t>PGE CONTENT PER PROCESSED MATERIAL</t>
  </si>
  <si>
    <t>Overall mass balance</t>
  </si>
  <si>
    <t>Smelting/Refining/Kell</t>
  </si>
  <si>
    <t>Feed (Mt)</t>
  </si>
  <si>
    <t>PGM (t)</t>
  </si>
  <si>
    <t>Solid  waste (Mt)</t>
  </si>
  <si>
    <t>ENERGY CONSUMPTION PER PROCESS ROUTE</t>
  </si>
  <si>
    <t>DIRECT EMISSIONS PER PROCESS ROUTE</t>
  </si>
  <si>
    <t>Total (kt)</t>
  </si>
  <si>
    <t>Electricity consumption (PJ)</t>
  </si>
  <si>
    <t>Conventional route</t>
  </si>
  <si>
    <t>Conventional</t>
  </si>
  <si>
    <t>New  route</t>
  </si>
  <si>
    <t>New tech</t>
  </si>
  <si>
    <t>New</t>
  </si>
  <si>
    <t>New route</t>
  </si>
  <si>
    <t>IPGM</t>
  </si>
  <si>
    <t>Inputs</t>
  </si>
  <si>
    <t>Outputs</t>
  </si>
  <si>
    <t>shares</t>
  </si>
  <si>
    <t>tons</t>
  </si>
  <si>
    <t>exist</t>
  </si>
  <si>
    <t>new</t>
  </si>
  <si>
    <t>Choice to be made here, whether we work on gross (260) or net (187)</t>
  </si>
  <si>
    <t>% domestic</t>
  </si>
  <si>
    <t>domestic</t>
  </si>
  <si>
    <t>export</t>
  </si>
  <si>
    <t>agv</t>
  </si>
  <si>
    <t>Before Beneficiation</t>
  </si>
  <si>
    <t>After Beneficiation</t>
  </si>
  <si>
    <t xml:space="preserve"> </t>
  </si>
  <si>
    <t>Share</t>
  </si>
  <si>
    <t>PGM prod</t>
  </si>
  <si>
    <t>all PGMs</t>
  </si>
  <si>
    <t>Minerals council report</t>
  </si>
  <si>
    <t>Production split</t>
  </si>
  <si>
    <t>From Student's report</t>
  </si>
  <si>
    <t>Energy use - PJ</t>
  </si>
  <si>
    <t>Electricity used</t>
  </si>
  <si>
    <t>Students report intensity X production volumes</t>
  </si>
  <si>
    <t>Industry - Diesel</t>
  </si>
  <si>
    <t>Industry - PGMs - Mine and refine - existing</t>
  </si>
  <si>
    <t>all PGMs.</t>
  </si>
  <si>
    <t>http://s1.q4cdn.com/169714374/files/doc_presentations/2020/01/Platinum-Group-Corporate-Presentation-January-7-2020-FINAL.pdf</t>
  </si>
  <si>
    <t>Mine</t>
  </si>
  <si>
    <t>Concentrator</t>
  </si>
  <si>
    <t>Million USD real</t>
  </si>
  <si>
    <t>Infrastructure</t>
  </si>
  <si>
    <t>shared</t>
  </si>
  <si>
    <t>regional</t>
  </si>
  <si>
    <t>site support</t>
  </si>
  <si>
    <t>Capital</t>
  </si>
  <si>
    <t>Operating</t>
  </si>
  <si>
    <t>On-site</t>
  </si>
  <si>
    <t>Smelting, refining, transport</t>
  </si>
  <si>
    <t>Credits</t>
  </si>
  <si>
    <t>taxs+royalties</t>
  </si>
  <si>
    <t>Sustaining capital</t>
  </si>
  <si>
    <t>Project capital</t>
  </si>
  <si>
    <t>sum</t>
  </si>
  <si>
    <t>without offsite</t>
  </si>
  <si>
    <t>USD/4E ounce</t>
  </si>
  <si>
    <t>Lac des Iles</t>
  </si>
  <si>
    <t>Waterberg</t>
  </si>
  <si>
    <t>Resources (M&amp;I)</t>
  </si>
  <si>
    <t>72.98M tonnes</t>
  </si>
  <si>
    <t>242M tonnes</t>
  </si>
  <si>
    <t>Reserves  (P&amp;P)</t>
  </si>
  <si>
    <t>3.5M ounces 3E</t>
  </si>
  <si>
    <t>19.5M ounces 4E</t>
  </si>
  <si>
    <t>Reserve Grade</t>
  </si>
  <si>
    <t>2.58 g/t 3E</t>
  </si>
  <si>
    <t>3.24g/t 4E</t>
  </si>
  <si>
    <t>Mine Life</t>
  </si>
  <si>
    <t>9 Years</t>
  </si>
  <si>
    <t>45 Years</t>
  </si>
  <si>
    <t>Total All-in Cost (USD)</t>
  </si>
  <si>
    <t>$834/Pd ounce</t>
  </si>
  <si>
    <t>$767/4E ounce</t>
  </si>
  <si>
    <t>Annual  Production</t>
  </si>
  <si>
    <t>294,000 ounces/3E</t>
  </si>
  <si>
    <t>420,000 ounces/4E</t>
  </si>
  <si>
    <t>Market Capitalization (USD)</t>
  </si>
  <si>
    <t>$758M</t>
  </si>
  <si>
    <t>$110M</t>
  </si>
  <si>
    <t>Market Cap/Reserve Ounce (USD)</t>
  </si>
  <si>
    <t>$11.28*</t>
  </si>
  <si>
    <t>Total production</t>
  </si>
  <si>
    <t>M oz</t>
  </si>
  <si>
    <t>Life</t>
  </si>
  <si>
    <t>years</t>
  </si>
  <si>
    <t>Annual production</t>
  </si>
  <si>
    <t>oz/year</t>
  </si>
  <si>
    <t>to tonnes:</t>
  </si>
  <si>
    <t>1 oz =</t>
  </si>
  <si>
    <t>1 troy oz =</t>
  </si>
  <si>
    <t>off-site presumably goes to Polokwane</t>
  </si>
  <si>
    <t>capital</t>
  </si>
  <si>
    <t>realisation</t>
  </si>
  <si>
    <t>total project capital</t>
  </si>
  <si>
    <t>M USD</t>
  </si>
  <si>
    <t>M USD/tonne/year</t>
  </si>
  <si>
    <t>grams</t>
  </si>
  <si>
    <t>per ounce</t>
  </si>
  <si>
    <t>local sales</t>
  </si>
  <si>
    <t>exports</t>
  </si>
  <si>
    <t>% local sales to production</t>
  </si>
  <si>
    <t>tonnes per year</t>
  </si>
  <si>
    <t>Industry - PGMs - Mine and refine - New</t>
  </si>
  <si>
    <t>NCAP_START</t>
  </si>
  <si>
    <t>Author</t>
  </si>
  <si>
    <t>BMc</t>
  </si>
  <si>
    <t xml:space="preserve">Author </t>
  </si>
  <si>
    <t>OpEX</t>
  </si>
  <si>
    <t>Onsite</t>
  </si>
  <si>
    <t>M USD/tonne</t>
  </si>
  <si>
    <t>FOM</t>
  </si>
  <si>
    <t>2020USD to 2015ZAR</t>
  </si>
  <si>
    <t xml:space="preserve">From Waterberg project by Platinum Group Metals inc. </t>
  </si>
  <si>
    <t>New cost</t>
  </si>
  <si>
    <t>mR/tonne/year</t>
  </si>
  <si>
    <t>NCAP_COST</t>
  </si>
  <si>
    <t>NCAP_FOM</t>
  </si>
  <si>
    <t>NCAP_TLIFE</t>
  </si>
  <si>
    <t xml:space="preserve">Completed sheet for PGMs sector. Have imported and works. Created 'outstanding issues' sheet to log next steps and issues. </t>
  </si>
  <si>
    <t>Others</t>
  </si>
  <si>
    <t>Pother</t>
  </si>
  <si>
    <t>USD/oz</t>
  </si>
  <si>
    <t>2015zar to USD</t>
  </si>
  <si>
    <t>USD/g</t>
  </si>
  <si>
    <t>IPGMD</t>
  </si>
  <si>
    <t>Demand</t>
  </si>
  <si>
    <t>Local demand</t>
  </si>
  <si>
    <t>Export</t>
  </si>
  <si>
    <t>Of which</t>
  </si>
  <si>
    <t>Local - Pt</t>
  </si>
  <si>
    <t>Comments</t>
  </si>
  <si>
    <t>8 Sept. 2021</t>
  </si>
  <si>
    <t>Bryce McCall</t>
  </si>
  <si>
    <t>How much local sales of PGM is Pt, and how much is Pd and others?</t>
  </si>
  <si>
    <t>total demand</t>
  </si>
  <si>
    <t xml:space="preserve">Stock additions and subractions would make up the difference prod and demand. </t>
  </si>
  <si>
    <t>NOTE: the units of all PGMs are "PJ" in the model</t>
  </si>
  <si>
    <t>tonnes = PJ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</si>
  <si>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</si>
  <si>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</si>
  <si>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</si>
  <si>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</si>
  <si>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</si>
  <si>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</si>
  <si>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</si>
  <si>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Demand tonne</t>
  </si>
  <si>
    <t>Production tonne</t>
  </si>
  <si>
    <t>Local Pt</t>
  </si>
  <si>
    <t>Export Pt</t>
  </si>
  <si>
    <t>Export others</t>
  </si>
  <si>
    <t>Export - Pt</t>
  </si>
  <si>
    <t>Export - Others</t>
  </si>
  <si>
    <t>assume pt export is total prod less local sales. Stocks would change this</t>
  </si>
  <si>
    <t>PRC,PRE,ANNUAL</t>
  </si>
  <si>
    <t>ACT_BND-FX</t>
  </si>
  <si>
    <t>ACT_BND-LO</t>
  </si>
  <si>
    <t>COM,DEM,ANNUAL,IND</t>
  </si>
  <si>
    <t>IDUM</t>
  </si>
  <si>
    <t>Dummy commodity</t>
  </si>
  <si>
    <t>PAMS</t>
  </si>
  <si>
    <t>Is on?</t>
  </si>
  <si>
    <t>Level selected</t>
  </si>
  <si>
    <t>High</t>
  </si>
  <si>
    <t>Low</t>
  </si>
  <si>
    <t>Smelting and refining process</t>
  </si>
  <si>
    <t>Mining process</t>
  </si>
  <si>
    <t>Selected:</t>
  </si>
  <si>
    <t xml:space="preserve">this is the 5% target for furnaces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</si>
</sst>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R&quot;#,##0.00;[Red]\-&quot;R&quot;#,##0.00"/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0.0%"/>
    <numFmt numFmtId="168" formatCode="_-* #,##0_-;\-* #,##0_-;_-* &quot;-&quot;??_-;_-@_-"/>
    <numFmt numFmtId="169" formatCode="0.0"/>
    <numFmt numFmtId="170" formatCode="0.000%"/>
    <numFmt numFmtId="171" formatCode="_ * #,##0_ ;_ * \-#,##0_ ;_ * &quot;-&quot;??_ ;_ @_ "/>
    <numFmt numFmtId="172" formatCode="_ * #,##0.00_ ;_ * \-#,##0.00_ ;_ * &quot;-&quot;??_ ;_ @_ "/>
    <numFmt numFmtId="173" formatCode="#,##0.00000"/>
    <numFmt numFmtId="174" formatCode="#,##0.000"/>
    <numFmt numFmtId="175" formatCode="#,##0.000000"/>
    <numFmt numFmtId="176" formatCode="#,##0.0"/>
    <numFmt numFmtId="177" formatCode="_-* #,##0.0_-;\-* #,##0.0_-;_-* &quot;-&quot;??_-;_-@_-"/>
    <numFmt numFmtId="178" formatCode="\$0.00"/>
    <numFmt numFmtId="179" formatCode="&quot;R&quot;#,##0.00000;[Red]\-&quot;R&quot;#,##0.00000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"/>
      <name val="Arial"/>
      <family val="2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rgb="FF000000"/>
      <name val="Times New Roman"/>
      <family val="1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indexed="63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sz val="12"/>
      <color indexed="9"/>
      <name val="Arial"/>
      <family val="2"/>
    </font>
    <font>
      <sz val="1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BEBEBE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1F2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5D5D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1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6" fillId="4" borderId="0" applyNumberFormat="0" applyBorder="0" applyAlignment="0" applyProtection="0"/>
    <xf numFmtId="0" fontId="47" fillId="5" borderId="16" applyNumberFormat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/>
  </cellStyleXfs>
  <cellXfs count="369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7" fillId="0" borderId="0" xfId="0" applyFont="1" applyFill="1"/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 applyFill="1"/>
    <xf numFmtId="0" fontId="18" fillId="0" borderId="0" xfId="1" applyFont="1"/>
    <xf numFmtId="0" fontId="19" fillId="0" borderId="0" xfId="0" applyFont="1" applyFill="1"/>
    <xf numFmtId="0" fontId="26" fillId="0" borderId="0" xfId="0" applyFont="1" applyFill="1"/>
    <xf numFmtId="0" fontId="26" fillId="0" borderId="0" xfId="0" applyFont="1"/>
    <xf numFmtId="0" fontId="27" fillId="0" borderId="0" xfId="0" applyFont="1" applyFill="1"/>
    <xf numFmtId="0" fontId="28" fillId="0" borderId="0" xfId="0" applyFont="1" applyFill="1"/>
    <xf numFmtId="0" fontId="25" fillId="0" borderId="0" xfId="1" applyFont="1"/>
    <xf numFmtId="0" fontId="20" fillId="0" borderId="0" xfId="1" applyFont="1"/>
    <xf numFmtId="0" fontId="27" fillId="0" borderId="0" xfId="1" applyFont="1" applyFill="1"/>
    <xf numFmtId="0" fontId="19" fillId="0" borderId="0" xfId="1" applyFont="1" applyFill="1"/>
    <xf numFmtId="0" fontId="28" fillId="0" borderId="0" xfId="1" applyFont="1" applyFill="1"/>
    <xf numFmtId="49" fontId="27" fillId="0" borderId="0" xfId="0" applyNumberFormat="1" applyFont="1" applyFill="1" applyAlignment="1">
      <alignment horizontal="left"/>
    </xf>
    <xf numFmtId="0" fontId="29" fillId="0" borderId="0" xfId="1" applyFont="1" applyFill="1"/>
    <xf numFmtId="0" fontId="23" fillId="0" borderId="0" xfId="1" applyFont="1" applyFill="1" applyAlignment="1">
      <alignment horizontal="center"/>
    </xf>
    <xf numFmtId="0" fontId="19" fillId="0" borderId="0" xfId="1" applyFont="1" applyFill="1" applyAlignment="1">
      <alignment horizontal="center"/>
    </xf>
    <xf numFmtId="0" fontId="18" fillId="0" borderId="0" xfId="1" applyFont="1" applyFill="1"/>
    <xf numFmtId="0" fontId="22" fillId="0" borderId="0" xfId="1" applyFill="1"/>
    <xf numFmtId="0" fontId="16" fillId="0" borderId="0" xfId="1" applyFont="1" applyFill="1"/>
    <xf numFmtId="0" fontId="0" fillId="0" borderId="0" xfId="0" applyFill="1"/>
    <xf numFmtId="0" fontId="19" fillId="0" borderId="0" xfId="1" applyFont="1" applyFill="1" applyAlignment="1">
      <alignment horizontal="center" wrapText="1"/>
    </xf>
    <xf numFmtId="0" fontId="25" fillId="0" borderId="0" xfId="0" applyFont="1" applyFill="1"/>
    <xf numFmtId="0" fontId="28" fillId="3" borderId="0" xfId="0" applyFont="1" applyFill="1"/>
    <xf numFmtId="0" fontId="28" fillId="3" borderId="0" xfId="1" applyFont="1" applyFill="1"/>
    <xf numFmtId="0" fontId="25" fillId="0" borderId="0" xfId="0" applyFont="1"/>
    <xf numFmtId="0" fontId="19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32" fillId="0" borderId="0" xfId="3" applyFont="1"/>
    <xf numFmtId="0" fontId="19" fillId="0" borderId="0" xfId="3" applyFont="1" applyFill="1"/>
    <xf numFmtId="0" fontId="19" fillId="0" borderId="0" xfId="2" applyFont="1" applyFill="1" applyAlignment="1">
      <alignment horizontal="center"/>
    </xf>
    <xf numFmtId="0" fontId="19" fillId="0" borderId="0" xfId="2" applyFont="1" applyFill="1"/>
    <xf numFmtId="0" fontId="22" fillId="0" borderId="0" xfId="3"/>
    <xf numFmtId="0" fontId="22" fillId="0" borderId="0" xfId="3" applyFont="1" applyFill="1"/>
    <xf numFmtId="0" fontId="19" fillId="0" borderId="0" xfId="2" applyFont="1"/>
    <xf numFmtId="0" fontId="34" fillId="0" borderId="0" xfId="1" applyFont="1" applyFill="1"/>
    <xf numFmtId="0" fontId="35" fillId="0" borderId="0" xfId="2" applyFont="1"/>
    <xf numFmtId="0" fontId="19" fillId="0" borderId="0" xfId="3" applyFont="1"/>
    <xf numFmtId="0" fontId="29" fillId="0" borderId="0" xfId="2" applyFont="1" applyFill="1"/>
    <xf numFmtId="0" fontId="35" fillId="0" borderId="0" xfId="3" applyFont="1"/>
    <xf numFmtId="0" fontId="35" fillId="0" borderId="0" xfId="1" applyFont="1"/>
    <xf numFmtId="0" fontId="33" fillId="0" borderId="0" xfId="1" applyFont="1"/>
    <xf numFmtId="0" fontId="28" fillId="0" borderId="0" xfId="2" applyFont="1" applyFill="1" applyAlignment="1">
      <alignment horizontal="center"/>
    </xf>
    <xf numFmtId="0" fontId="28" fillId="0" borderId="0" xfId="2" applyFont="1" applyFill="1"/>
    <xf numFmtId="0" fontId="29" fillId="0" borderId="0" xfId="0" applyFont="1" applyFill="1"/>
    <xf numFmtId="0" fontId="14" fillId="0" borderId="0" xfId="12"/>
    <xf numFmtId="0" fontId="31" fillId="0" borderId="0" xfId="12" applyFont="1"/>
    <xf numFmtId="0" fontId="14" fillId="0" borderId="0" xfId="12" applyBorder="1"/>
    <xf numFmtId="0" fontId="14" fillId="0" borderId="5" xfId="12" applyBorder="1" applyAlignment="1">
      <alignment horizontal="center"/>
    </xf>
    <xf numFmtId="0" fontId="14" fillId="0" borderId="0" xfId="12" applyBorder="1" applyAlignment="1">
      <alignment horizontal="center"/>
    </xf>
    <xf numFmtId="0" fontId="14" fillId="0" borderId="14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4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4" xfId="12" applyBorder="1"/>
    <xf numFmtId="0" fontId="14" fillId="0" borderId="14" xfId="12" applyBorder="1"/>
    <xf numFmtId="0" fontId="14" fillId="0" borderId="8" xfId="12" applyBorder="1" applyAlignment="1">
      <alignment horizontal="center"/>
    </xf>
    <xf numFmtId="0" fontId="14" fillId="0" borderId="10" xfId="12" applyBorder="1" applyAlignment="1">
      <alignment horizontal="center"/>
    </xf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40" fillId="0" borderId="15" xfId="12" applyFont="1" applyBorder="1" applyAlignment="1">
      <alignment horizontal="center"/>
    </xf>
    <xf numFmtId="0" fontId="14" fillId="0" borderId="5" xfId="12" applyBorder="1"/>
    <xf numFmtId="0" fontId="14" fillId="0" borderId="12" xfId="12" applyBorder="1" applyAlignment="1">
      <alignment horizontal="center"/>
    </xf>
    <xf numFmtId="0" fontId="38" fillId="0" borderId="0" xfId="12" applyFont="1"/>
    <xf numFmtId="0" fontId="40" fillId="0" borderId="0" xfId="12" applyFont="1"/>
    <xf numFmtId="0" fontId="37" fillId="0" borderId="0" xfId="12" applyFont="1"/>
    <xf numFmtId="0" fontId="39" fillId="0" borderId="0" xfId="12" applyFont="1"/>
    <xf numFmtId="0" fontId="37" fillId="0" borderId="14" xfId="12" applyFont="1" applyBorder="1" applyAlignment="1">
      <alignment horizontal="center"/>
    </xf>
    <xf numFmtId="0" fontId="41" fillId="0" borderId="0" xfId="12" applyFont="1"/>
    <xf numFmtId="0" fontId="14" fillId="0" borderId="5" xfId="12" applyBorder="1" applyAlignment="1">
      <alignment horizontal="center" textRotation="90"/>
    </xf>
    <xf numFmtId="0" fontId="14" fillId="0" borderId="4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44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4" fillId="0" borderId="0" xfId="19" applyBorder="1"/>
    <xf numFmtId="0" fontId="0" fillId="0" borderId="1" xfId="0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22" fillId="0" borderId="7" xfId="0" applyFont="1" applyBorder="1"/>
    <xf numFmtId="2" fontId="0" fillId="0" borderId="2" xfId="0" applyNumberFormat="1" applyBorder="1"/>
    <xf numFmtId="0" fontId="22" fillId="0" borderId="2" xfId="0" applyFont="1" applyBorder="1"/>
    <xf numFmtId="0" fontId="0" fillId="0" borderId="13" xfId="0" applyBorder="1"/>
    <xf numFmtId="0" fontId="0" fillId="0" borderId="11" xfId="0" applyBorder="1"/>
    <xf numFmtId="0" fontId="22" fillId="0" borderId="11" xfId="0" applyFont="1" applyBorder="1"/>
    <xf numFmtId="0" fontId="0" fillId="0" borderId="12" xfId="0" applyBorder="1"/>
    <xf numFmtId="167" fontId="0" fillId="0" borderId="0" xfId="18" applyNumberFormat="1" applyFont="1"/>
    <xf numFmtId="0" fontId="28" fillId="0" borderId="0" xfId="2" applyFont="1" applyFill="1" applyAlignment="1">
      <alignment wrapText="1"/>
    </xf>
    <xf numFmtId="167" fontId="0" fillId="0" borderId="3" xfId="18" applyNumberFormat="1" applyFont="1" applyBorder="1"/>
    <xf numFmtId="0" fontId="19" fillId="0" borderId="0" xfId="2" applyFont="1" applyFill="1" applyAlignment="1">
      <alignment wrapText="1"/>
    </xf>
    <xf numFmtId="165" fontId="19" fillId="0" borderId="0" xfId="0" applyNumberFormat="1" applyFont="1"/>
    <xf numFmtId="165" fontId="19" fillId="0" borderId="0" xfId="0" applyNumberFormat="1" applyFont="1" applyAlignment="1">
      <alignment horizontal="center"/>
    </xf>
    <xf numFmtId="0" fontId="47" fillId="5" borderId="16" xfId="22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45" fillId="0" borderId="19" xfId="20" applyBorder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4" fillId="0" borderId="13" xfId="12" applyBorder="1" applyAlignment="1">
      <alignment horizontal="center"/>
    </xf>
    <xf numFmtId="165" fontId="22" fillId="0" borderId="5" xfId="0" applyNumberFormat="1" applyFont="1" applyBorder="1"/>
    <xf numFmtId="2" fontId="22" fillId="0" borderId="11" xfId="0" applyNumberFormat="1" applyFont="1" applyBorder="1"/>
    <xf numFmtId="0" fontId="22" fillId="0" borderId="3" xfId="0" applyFont="1" applyBorder="1"/>
    <xf numFmtId="0" fontId="11" fillId="0" borderId="5" xfId="12" applyFont="1" applyBorder="1" applyAlignment="1">
      <alignment horizontal="center" textRotation="90"/>
    </xf>
    <xf numFmtId="2" fontId="22" fillId="0" borderId="2" xfId="0" applyNumberFormat="1" applyFont="1" applyBorder="1"/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22" fillId="0" borderId="13" xfId="0" applyFont="1" applyBorder="1"/>
    <xf numFmtId="2" fontId="46" fillId="4" borderId="11" xfId="21" applyNumberFormat="1" applyBorder="1"/>
    <xf numFmtId="0" fontId="0" fillId="0" borderId="0" xfId="0" applyFill="1" applyBorder="1"/>
    <xf numFmtId="0" fontId="9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8" fillId="0" borderId="9" xfId="12" applyFont="1" applyBorder="1" applyAlignment="1">
      <alignment horizontal="center"/>
    </xf>
    <xf numFmtId="0" fontId="8" fillId="0" borderId="5" xfId="12" applyFont="1" applyBorder="1" applyAlignment="1">
      <alignment horizontal="center" textRotation="90"/>
    </xf>
    <xf numFmtId="0" fontId="14" fillId="0" borderId="6" xfId="12" applyBorder="1"/>
    <xf numFmtId="0" fontId="14" fillId="0" borderId="7" xfId="12" applyBorder="1"/>
    <xf numFmtId="0" fontId="7" fillId="3" borderId="5" xfId="12" applyFont="1" applyFill="1" applyBorder="1" applyAlignment="1">
      <alignment horizontal="center" textRotation="90"/>
    </xf>
    <xf numFmtId="0" fontId="0" fillId="0" borderId="5" xfId="0" applyBorder="1"/>
    <xf numFmtId="2" fontId="46" fillId="4" borderId="2" xfId="21" applyNumberFormat="1" applyBorder="1"/>
    <xf numFmtId="0" fontId="7" fillId="0" borderId="0" xfId="12" applyFont="1"/>
    <xf numFmtId="2" fontId="0" fillId="0" borderId="0" xfId="0" applyNumberFormat="1"/>
    <xf numFmtId="0" fontId="31" fillId="0" borderId="0" xfId="23" applyFont="1"/>
    <xf numFmtId="0" fontId="6" fillId="0" borderId="0" xfId="23"/>
    <xf numFmtId="0" fontId="31" fillId="0" borderId="1" xfId="23" applyFont="1" applyBorder="1"/>
    <xf numFmtId="0" fontId="6" fillId="0" borderId="2" xfId="23" applyBorder="1"/>
    <xf numFmtId="0" fontId="6" fillId="0" borderId="3" xfId="23" applyBorder="1"/>
    <xf numFmtId="0" fontId="48" fillId="6" borderId="20" xfId="23" applyFont="1" applyFill="1" applyBorder="1" applyAlignment="1">
      <alignment horizontal="left" vertical="top" wrapText="1"/>
    </xf>
    <xf numFmtId="0" fontId="48" fillId="6" borderId="21" xfId="23" applyFont="1" applyFill="1" applyBorder="1" applyAlignment="1">
      <alignment horizontal="left" vertical="top" wrapText="1"/>
    </xf>
    <xf numFmtId="0" fontId="49" fillId="6" borderId="21" xfId="23" applyFont="1" applyFill="1" applyBorder="1" applyAlignment="1">
      <alignment horizontal="left" vertical="center" wrapText="1"/>
    </xf>
    <xf numFmtId="0" fontId="6" fillId="0" borderId="5" xfId="23" applyBorder="1"/>
    <xf numFmtId="0" fontId="49" fillId="7" borderId="20" xfId="23" applyFont="1" applyFill="1" applyBorder="1" applyAlignment="1">
      <alignment horizontal="left" vertical="center" wrapText="1"/>
    </xf>
    <xf numFmtId="0" fontId="49" fillId="7" borderId="21" xfId="23" applyFont="1" applyFill="1" applyBorder="1" applyAlignment="1">
      <alignment horizontal="left" vertical="center" wrapText="1"/>
    </xf>
    <xf numFmtId="1" fontId="48" fillId="7" borderId="21" xfId="23" applyNumberFormat="1" applyFont="1" applyFill="1" applyBorder="1" applyAlignment="1">
      <alignment horizontal="right" vertical="top" shrinkToFit="1"/>
    </xf>
    <xf numFmtId="1" fontId="48" fillId="7" borderId="21" xfId="23" applyNumberFormat="1" applyFont="1" applyFill="1" applyBorder="1" applyAlignment="1">
      <alignment horizontal="center" vertical="top" shrinkToFit="1"/>
    </xf>
    <xf numFmtId="0" fontId="48" fillId="0" borderId="20" xfId="23" applyFont="1" applyBorder="1" applyAlignment="1">
      <alignment horizontal="left" vertical="top" wrapText="1"/>
    </xf>
    <xf numFmtId="0" fontId="48" fillId="0" borderId="21" xfId="23" applyFont="1" applyBorder="1" applyAlignment="1">
      <alignment horizontal="left" vertical="top" wrapText="1"/>
    </xf>
    <xf numFmtId="0" fontId="48" fillId="0" borderId="21" xfId="23" applyFont="1" applyBorder="1" applyAlignment="1">
      <alignment horizontal="right" vertical="top" wrapText="1"/>
    </xf>
    <xf numFmtId="168" fontId="48" fillId="0" borderId="21" xfId="24" applyNumberFormat="1" applyFont="1" applyBorder="1" applyAlignment="1">
      <alignment horizontal="right" vertical="top" wrapText="1"/>
    </xf>
    <xf numFmtId="168" fontId="0" fillId="0" borderId="0" xfId="24" applyNumberFormat="1" applyFont="1" applyBorder="1"/>
    <xf numFmtId="0" fontId="48" fillId="0" borderId="22" xfId="23" applyFont="1" applyBorder="1" applyAlignment="1">
      <alignment horizontal="right" vertical="top" wrapText="1"/>
    </xf>
    <xf numFmtId="0" fontId="48" fillId="0" borderId="23" xfId="23" applyFont="1" applyBorder="1" applyAlignment="1">
      <alignment horizontal="left" vertical="top" wrapText="1"/>
    </xf>
    <xf numFmtId="0" fontId="48" fillId="0" borderId="24" xfId="23" applyFont="1" applyBorder="1" applyAlignment="1">
      <alignment horizontal="left" vertical="top" wrapText="1"/>
    </xf>
    <xf numFmtId="0" fontId="48" fillId="0" borderId="24" xfId="23" applyFont="1" applyBorder="1" applyAlignment="1">
      <alignment horizontal="right" vertical="top" wrapText="1"/>
    </xf>
    <xf numFmtId="168" fontId="48" fillId="0" borderId="24" xfId="24" applyNumberFormat="1" applyFont="1" applyBorder="1" applyAlignment="1">
      <alignment horizontal="right" vertical="top" wrapText="1"/>
    </xf>
    <xf numFmtId="0" fontId="48" fillId="0" borderId="0" xfId="23" applyFont="1" applyAlignment="1">
      <alignment horizontal="right" vertical="top" wrapText="1"/>
    </xf>
    <xf numFmtId="0" fontId="6" fillId="0" borderId="4" xfId="23" applyBorder="1"/>
    <xf numFmtId="9" fontId="0" fillId="0" borderId="0" xfId="25" applyFont="1" applyBorder="1"/>
    <xf numFmtId="0" fontId="6" fillId="0" borderId="6" xfId="23" applyBorder="1"/>
    <xf numFmtId="0" fontId="6" fillId="0" borderId="7" xfId="23" applyBorder="1"/>
    <xf numFmtId="0" fontId="6" fillId="0" borderId="8" xfId="23" applyBorder="1"/>
    <xf numFmtId="0" fontId="6" fillId="0" borderId="1" xfId="23" applyBorder="1"/>
    <xf numFmtId="0" fontId="50" fillId="6" borderId="25" xfId="23" applyFont="1" applyFill="1" applyBorder="1" applyAlignment="1">
      <alignment horizontal="left" vertical="top" wrapText="1"/>
    </xf>
    <xf numFmtId="0" fontId="50" fillId="6" borderId="26" xfId="23" applyFont="1" applyFill="1" applyBorder="1" applyAlignment="1">
      <alignment horizontal="left" vertical="top" wrapText="1"/>
    </xf>
    <xf numFmtId="0" fontId="50" fillId="6" borderId="26" xfId="23" applyFont="1" applyFill="1" applyBorder="1" applyAlignment="1">
      <alignment horizontal="center" vertical="top" wrapText="1"/>
    </xf>
    <xf numFmtId="0" fontId="50" fillId="0" borderId="20" xfId="23" applyFont="1" applyBorder="1" applyAlignment="1">
      <alignment horizontal="left" vertical="center" wrapText="1"/>
    </xf>
    <xf numFmtId="169" fontId="50" fillId="0" borderId="21" xfId="23" applyNumberFormat="1" applyFont="1" applyBorder="1" applyAlignment="1">
      <alignment horizontal="center" vertical="center" shrinkToFit="1"/>
    </xf>
    <xf numFmtId="2" fontId="50" fillId="0" borderId="21" xfId="23" applyNumberFormat="1" applyFont="1" applyBorder="1" applyAlignment="1">
      <alignment horizontal="center" vertical="center" shrinkToFit="1"/>
    </xf>
    <xf numFmtId="1" fontId="50" fillId="0" borderId="21" xfId="23" applyNumberFormat="1" applyFont="1" applyBorder="1" applyAlignment="1">
      <alignment horizontal="center" vertical="center" shrinkToFit="1"/>
    </xf>
    <xf numFmtId="0" fontId="50" fillId="6" borderId="27" xfId="23" applyFont="1" applyFill="1" applyBorder="1" applyAlignment="1">
      <alignment horizontal="center" vertical="top" wrapText="1"/>
    </xf>
    <xf numFmtId="0" fontId="50" fillId="6" borderId="28" xfId="23" applyFont="1" applyFill="1" applyBorder="1" applyAlignment="1">
      <alignment horizontal="center" vertical="top" wrapText="1"/>
    </xf>
    <xf numFmtId="0" fontId="50" fillId="6" borderId="22" xfId="23" applyFont="1" applyFill="1" applyBorder="1" applyAlignment="1">
      <alignment horizontal="left" vertical="top" wrapText="1" indent="2"/>
    </xf>
    <xf numFmtId="0" fontId="50" fillId="0" borderId="29" xfId="23" applyFont="1" applyBorder="1" applyAlignment="1">
      <alignment horizontal="center" vertical="top" wrapText="1"/>
    </xf>
    <xf numFmtId="167" fontId="50" fillId="0" borderId="26" xfId="23" applyNumberFormat="1" applyFont="1" applyBorder="1" applyAlignment="1">
      <alignment horizontal="center" vertical="top" shrinkToFit="1"/>
    </xf>
    <xf numFmtId="0" fontId="50" fillId="0" borderId="33" xfId="23" applyFont="1" applyBorder="1" applyAlignment="1">
      <alignment horizontal="center" vertical="center" wrapText="1"/>
    </xf>
    <xf numFmtId="0" fontId="50" fillId="0" borderId="21" xfId="23" applyFont="1" applyBorder="1" applyAlignment="1">
      <alignment horizontal="center" vertical="center" wrapText="1"/>
    </xf>
    <xf numFmtId="167" fontId="50" fillId="0" borderId="21" xfId="23" applyNumberFormat="1" applyFont="1" applyBorder="1" applyAlignment="1">
      <alignment horizontal="center" vertical="center" shrinkToFit="1"/>
    </xf>
    <xf numFmtId="170" fontId="50" fillId="0" borderId="21" xfId="23" applyNumberFormat="1" applyFont="1" applyBorder="1" applyAlignment="1">
      <alignment horizontal="center" vertical="center" shrinkToFit="1"/>
    </xf>
    <xf numFmtId="10" fontId="50" fillId="0" borderId="21" xfId="23" applyNumberFormat="1" applyFont="1" applyBorder="1" applyAlignment="1">
      <alignment horizontal="center" vertical="center" shrinkToFit="1"/>
    </xf>
    <xf numFmtId="0" fontId="51" fillId="0" borderId="0" xfId="23" applyFont="1" applyAlignment="1">
      <alignment horizontal="center" vertical="center" wrapText="1"/>
    </xf>
    <xf numFmtId="0" fontId="50" fillId="6" borderId="26" xfId="23" applyFont="1" applyFill="1" applyBorder="1" applyAlignment="1">
      <alignment horizontal="left" vertical="top"/>
    </xf>
    <xf numFmtId="0" fontId="50" fillId="6" borderId="26" xfId="23" applyFont="1" applyFill="1" applyBorder="1" applyAlignment="1">
      <alignment horizontal="right" vertical="top"/>
    </xf>
    <xf numFmtId="0" fontId="50" fillId="0" borderId="21" xfId="23" applyFont="1" applyBorder="1" applyAlignment="1">
      <alignment horizontal="left" vertical="center"/>
    </xf>
    <xf numFmtId="165" fontId="50" fillId="0" borderId="21" xfId="23" applyNumberFormat="1" applyFont="1" applyBorder="1" applyAlignment="1">
      <alignment horizontal="right" vertical="center" shrinkToFit="1"/>
    </xf>
    <xf numFmtId="4" fontId="6" fillId="0" borderId="10" xfId="23" applyNumberFormat="1" applyBorder="1"/>
    <xf numFmtId="10" fontId="0" fillId="0" borderId="10" xfId="25" applyNumberFormat="1" applyFont="1" applyBorder="1"/>
    <xf numFmtId="0" fontId="52" fillId="0" borderId="21" xfId="23" applyFont="1" applyBorder="1" applyAlignment="1">
      <alignment vertical="center" wrapText="1"/>
    </xf>
    <xf numFmtId="171" fontId="0" fillId="0" borderId="37" xfId="24" applyNumberFormat="1" applyFont="1" applyFill="1" applyBorder="1" applyProtection="1">
      <protection locked="0"/>
    </xf>
    <xf numFmtId="171" fontId="0" fillId="0" borderId="37" xfId="24" quotePrefix="1" applyNumberFormat="1" applyFont="1" applyFill="1" applyBorder="1" applyProtection="1">
      <protection locked="0"/>
    </xf>
    <xf numFmtId="172" fontId="6" fillId="0" borderId="0" xfId="23" applyNumberFormat="1"/>
    <xf numFmtId="168" fontId="0" fillId="0" borderId="7" xfId="24" applyNumberFormat="1" applyFont="1" applyBorder="1"/>
    <xf numFmtId="0" fontId="53" fillId="0" borderId="0" xfId="23" applyFont="1"/>
    <xf numFmtId="0" fontId="6" fillId="0" borderId="10" xfId="23" applyBorder="1"/>
    <xf numFmtId="171" fontId="0" fillId="0" borderId="38" xfId="24" applyNumberFormat="1" applyFont="1" applyFill="1" applyBorder="1" applyProtection="1">
      <protection locked="0"/>
    </xf>
    <xf numFmtId="168" fontId="6" fillId="0" borderId="10" xfId="24" applyNumberFormat="1" applyFont="1" applyBorder="1"/>
    <xf numFmtId="43" fontId="6" fillId="0" borderId="10" xfId="23" applyNumberFormat="1" applyBorder="1"/>
    <xf numFmtId="171" fontId="0" fillId="0" borderId="38" xfId="24" quotePrefix="1" applyNumberFormat="1" applyFont="1" applyFill="1" applyBorder="1" applyProtection="1">
      <protection locked="0"/>
    </xf>
    <xf numFmtId="168" fontId="0" fillId="0" borderId="10" xfId="24" applyNumberFormat="1" applyFont="1" applyBorder="1"/>
    <xf numFmtId="10" fontId="0" fillId="0" borderId="10" xfId="25" quotePrefix="1" applyNumberFormat="1" applyFont="1" applyBorder="1"/>
    <xf numFmtId="4" fontId="6" fillId="0" borderId="0" xfId="23" applyNumberFormat="1"/>
    <xf numFmtId="9" fontId="6" fillId="0" borderId="0" xfId="23" applyNumberFormat="1"/>
    <xf numFmtId="10" fontId="6" fillId="0" borderId="0" xfId="23" applyNumberFormat="1"/>
    <xf numFmtId="169" fontId="54" fillId="0" borderId="0" xfId="23" applyNumberFormat="1" applyFont="1"/>
    <xf numFmtId="9" fontId="0" fillId="0" borderId="0" xfId="25" applyFont="1"/>
    <xf numFmtId="9" fontId="31" fillId="0" borderId="0" xfId="25" applyFont="1"/>
    <xf numFmtId="167" fontId="31" fillId="0" borderId="0" xfId="25" applyNumberFormat="1" applyFont="1"/>
    <xf numFmtId="2" fontId="6" fillId="0" borderId="0" xfId="23" applyNumberFormat="1"/>
    <xf numFmtId="2" fontId="31" fillId="0" borderId="0" xfId="23" applyNumberFormat="1" applyFont="1"/>
    <xf numFmtId="166" fontId="6" fillId="0" borderId="0" xfId="23" applyNumberFormat="1"/>
    <xf numFmtId="165" fontId="6" fillId="0" borderId="0" xfId="23" applyNumberFormat="1"/>
    <xf numFmtId="0" fontId="31" fillId="0" borderId="2" xfId="23" applyFont="1" applyBorder="1"/>
    <xf numFmtId="169" fontId="6" fillId="0" borderId="0" xfId="23" applyNumberFormat="1"/>
    <xf numFmtId="168" fontId="0" fillId="0" borderId="0" xfId="24" applyNumberFormat="1" applyFont="1"/>
    <xf numFmtId="43" fontId="6" fillId="0" borderId="0" xfId="23" applyNumberFormat="1"/>
    <xf numFmtId="22" fontId="6" fillId="0" borderId="4" xfId="23" applyNumberFormat="1" applyBorder="1"/>
    <xf numFmtId="168" fontId="6" fillId="0" borderId="0" xfId="23" applyNumberFormat="1"/>
    <xf numFmtId="0" fontId="55" fillId="0" borderId="0" xfId="23" applyFont="1"/>
    <xf numFmtId="168" fontId="55" fillId="0" borderId="0" xfId="23" applyNumberFormat="1" applyFont="1"/>
    <xf numFmtId="8" fontId="6" fillId="0" borderId="0" xfId="23" applyNumberFormat="1"/>
    <xf numFmtId="4" fontId="42" fillId="0" borderId="0" xfId="14" applyNumberFormat="1"/>
    <xf numFmtId="4" fontId="42" fillId="10" borderId="0" xfId="14" applyNumberFormat="1" applyFill="1"/>
    <xf numFmtId="4" fontId="42" fillId="11" borderId="0" xfId="14" applyNumberFormat="1" applyFill="1"/>
    <xf numFmtId="4" fontId="42" fillId="0" borderId="10" xfId="14" applyNumberFormat="1" applyBorder="1"/>
    <xf numFmtId="4" fontId="42" fillId="3" borderId="0" xfId="14" applyNumberFormat="1" applyFill="1"/>
    <xf numFmtId="4" fontId="42" fillId="0" borderId="10" xfId="14" quotePrefix="1" applyNumberFormat="1" applyBorder="1"/>
    <xf numFmtId="3" fontId="42" fillId="0" borderId="10" xfId="14" applyNumberFormat="1" applyBorder="1"/>
    <xf numFmtId="4" fontId="42" fillId="11" borderId="10" xfId="14" applyNumberFormat="1" applyFill="1" applyBorder="1"/>
    <xf numFmtId="4" fontId="42" fillId="12" borderId="10" xfId="14" applyNumberFormat="1" applyFill="1" applyBorder="1"/>
    <xf numFmtId="173" fontId="42" fillId="0" borderId="10" xfId="14" applyNumberFormat="1" applyBorder="1"/>
    <xf numFmtId="10" fontId="0" fillId="0" borderId="10" xfId="17" applyNumberFormat="1" applyFont="1" applyBorder="1"/>
    <xf numFmtId="3" fontId="42" fillId="0" borderId="10" xfId="14" applyNumberFormat="1" applyBorder="1" applyAlignment="1">
      <alignment vertical="center" wrapText="1"/>
    </xf>
    <xf numFmtId="0" fontId="42" fillId="0" borderId="0" xfId="14"/>
    <xf numFmtId="174" fontId="42" fillId="0" borderId="10" xfId="14" applyNumberFormat="1" applyBorder="1"/>
    <xf numFmtId="3" fontId="42" fillId="0" borderId="0" xfId="14" applyNumberFormat="1"/>
    <xf numFmtId="4" fontId="42" fillId="13" borderId="10" xfId="14" applyNumberFormat="1" applyFill="1" applyBorder="1"/>
    <xf numFmtId="3" fontId="42" fillId="13" borderId="10" xfId="14" applyNumberFormat="1" applyFill="1" applyBorder="1"/>
    <xf numFmtId="175" fontId="42" fillId="0" borderId="0" xfId="14" applyNumberFormat="1"/>
    <xf numFmtId="167" fontId="0" fillId="0" borderId="0" xfId="17" applyNumberFormat="1" applyFont="1"/>
    <xf numFmtId="176" fontId="42" fillId="0" borderId="0" xfId="14" applyNumberFormat="1"/>
    <xf numFmtId="10" fontId="0" fillId="0" borderId="0" xfId="17" applyNumberFormat="1" applyFont="1"/>
    <xf numFmtId="170" fontId="0" fillId="0" borderId="10" xfId="17" applyNumberFormat="1" applyFont="1" applyBorder="1"/>
    <xf numFmtId="4" fontId="42" fillId="15" borderId="0" xfId="14" applyNumberFormat="1" applyFill="1"/>
    <xf numFmtId="4" fontId="42" fillId="0" borderId="14" xfId="14" applyNumberFormat="1" applyBorder="1"/>
    <xf numFmtId="167" fontId="0" fillId="0" borderId="0" xfId="17" applyNumberFormat="1" applyFont="1" applyBorder="1"/>
    <xf numFmtId="0" fontId="5" fillId="0" borderId="5" xfId="12" applyFont="1" applyBorder="1" applyAlignment="1">
      <alignment horizontal="center" textRotation="90"/>
    </xf>
    <xf numFmtId="0" fontId="4" fillId="0" borderId="0" xfId="27"/>
    <xf numFmtId="0" fontId="31" fillId="0" borderId="0" xfId="27" applyFont="1"/>
    <xf numFmtId="2" fontId="4" fillId="0" borderId="0" xfId="27" applyNumberFormat="1"/>
    <xf numFmtId="9" fontId="0" fillId="0" borderId="0" xfId="28" applyFont="1"/>
    <xf numFmtId="0" fontId="4" fillId="0" borderId="5" xfId="12" applyFont="1" applyBorder="1" applyAlignment="1">
      <alignment horizontal="center" textRotation="90"/>
    </xf>
    <xf numFmtId="0" fontId="4" fillId="0" borderId="0" xfId="23" applyFont="1"/>
    <xf numFmtId="167" fontId="6" fillId="0" borderId="0" xfId="18" applyNumberFormat="1" applyFont="1"/>
    <xf numFmtId="0" fontId="54" fillId="0" borderId="0" xfId="23" applyFont="1"/>
    <xf numFmtId="1" fontId="6" fillId="0" borderId="0" xfId="23" applyNumberFormat="1"/>
    <xf numFmtId="177" fontId="6" fillId="0" borderId="0" xfId="26" applyNumberFormat="1" applyFont="1"/>
    <xf numFmtId="43" fontId="31" fillId="0" borderId="0" xfId="23" applyNumberFormat="1" applyFont="1"/>
    <xf numFmtId="2" fontId="6" fillId="0" borderId="2" xfId="23" applyNumberFormat="1" applyBorder="1"/>
    <xf numFmtId="2" fontId="6" fillId="0" borderId="3" xfId="23" applyNumberFormat="1" applyBorder="1"/>
    <xf numFmtId="0" fontId="54" fillId="0" borderId="4" xfId="23" applyFont="1" applyBorder="1"/>
    <xf numFmtId="0" fontId="6" fillId="0" borderId="0" xfId="23" applyBorder="1"/>
    <xf numFmtId="0" fontId="31" fillId="0" borderId="0" xfId="23" applyFont="1" applyBorder="1"/>
    <xf numFmtId="0" fontId="31" fillId="0" borderId="5" xfId="23" applyFont="1" applyBorder="1"/>
    <xf numFmtId="166" fontId="6" fillId="0" borderId="0" xfId="23" applyNumberFormat="1" applyBorder="1"/>
    <xf numFmtId="166" fontId="6" fillId="0" borderId="5" xfId="23" applyNumberFormat="1" applyBorder="1"/>
    <xf numFmtId="0" fontId="4" fillId="3" borderId="5" xfId="12" applyFont="1" applyFill="1" applyBorder="1" applyAlignment="1">
      <alignment horizontal="center" textRotation="90"/>
    </xf>
    <xf numFmtId="0" fontId="58" fillId="0" borderId="0" xfId="29"/>
    <xf numFmtId="0" fontId="59" fillId="0" borderId="0" xfId="0" applyFont="1"/>
    <xf numFmtId="0" fontId="49" fillId="16" borderId="39" xfId="0" applyFont="1" applyFill="1" applyBorder="1" applyAlignment="1">
      <alignment horizontal="left" vertical="center" wrapText="1"/>
    </xf>
    <xf numFmtId="0" fontId="61" fillId="16" borderId="39" xfId="0" applyFont="1" applyFill="1" applyBorder="1" applyAlignment="1">
      <alignment horizontal="center" vertical="top" wrapText="1"/>
    </xf>
    <xf numFmtId="0" fontId="61" fillId="17" borderId="40" xfId="0" applyFont="1" applyFill="1" applyBorder="1" applyAlignment="1">
      <alignment horizontal="left" vertical="top" wrapText="1"/>
    </xf>
    <xf numFmtId="0" fontId="62" fillId="18" borderId="40" xfId="0" applyFont="1" applyFill="1" applyBorder="1" applyAlignment="1">
      <alignment horizontal="center" vertical="top" wrapText="1"/>
    </xf>
    <xf numFmtId="0" fontId="62" fillId="19" borderId="40" xfId="0" applyFont="1" applyFill="1" applyBorder="1" applyAlignment="1">
      <alignment horizontal="center" vertical="top" wrapText="1"/>
    </xf>
    <xf numFmtId="0" fontId="62" fillId="18" borderId="40" xfId="0" applyFont="1" applyFill="1" applyBorder="1" applyAlignment="1">
      <alignment horizontal="left" vertical="top" wrapText="1" indent="4"/>
    </xf>
    <xf numFmtId="0" fontId="63" fillId="17" borderId="41" xfId="0" applyFont="1" applyFill="1" applyBorder="1" applyAlignment="1">
      <alignment horizontal="left" vertical="top" wrapText="1"/>
    </xf>
    <xf numFmtId="178" fontId="60" fillId="18" borderId="41" xfId="0" applyNumberFormat="1" applyFont="1" applyFill="1" applyBorder="1" applyAlignment="1">
      <alignment horizontal="center" vertical="top" shrinkToFit="1"/>
    </xf>
    <xf numFmtId="0" fontId="60" fillId="18" borderId="41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right"/>
    </xf>
    <xf numFmtId="0" fontId="22" fillId="3" borderId="0" xfId="0" applyFont="1" applyFill="1"/>
    <xf numFmtId="0" fontId="0" fillId="3" borderId="0" xfId="0" applyFill="1"/>
    <xf numFmtId="169" fontId="0" fillId="0" borderId="0" xfId="0" applyNumberFormat="1"/>
    <xf numFmtId="9" fontId="0" fillId="0" borderId="0" xfId="18" applyFont="1"/>
    <xf numFmtId="0" fontId="22" fillId="0" borderId="0" xfId="0" applyFont="1" applyAlignment="1">
      <alignment horizontal="left"/>
    </xf>
    <xf numFmtId="177" fontId="19" fillId="0" borderId="0" xfId="2" applyNumberFormat="1" applyFont="1"/>
    <xf numFmtId="15" fontId="0" fillId="0" borderId="0" xfId="0" applyNumberFormat="1"/>
    <xf numFmtId="0" fontId="22" fillId="0" borderId="0" xfId="0" applyFont="1" applyAlignment="1">
      <alignment wrapText="1"/>
    </xf>
    <xf numFmtId="2" fontId="0" fillId="3" borderId="0" xfId="0" applyNumberFormat="1" applyFill="1"/>
    <xf numFmtId="0" fontId="3" fillId="0" borderId="0" xfId="23" applyFont="1"/>
    <xf numFmtId="177" fontId="31" fillId="0" borderId="0" xfId="26" applyNumberFormat="1" applyFont="1"/>
    <xf numFmtId="1" fontId="0" fillId="0" borderId="0" xfId="0" applyNumberFormat="1"/>
    <xf numFmtId="4" fontId="3" fillId="0" borderId="0" xfId="23" applyNumberFormat="1" applyFont="1"/>
    <xf numFmtId="0" fontId="2" fillId="0" borderId="0" xfId="12" applyFont="1"/>
    <xf numFmtId="0" fontId="2" fillId="0" borderId="5" xfId="12" applyFont="1" applyBorder="1" applyAlignment="1">
      <alignment horizontal="center" textRotation="90"/>
    </xf>
    <xf numFmtId="0" fontId="2" fillId="0" borderId="0" xfId="23" applyFont="1"/>
    <xf numFmtId="0" fontId="2" fillId="0" borderId="0" xfId="23" applyFont="1" applyAlignment="1">
      <alignment wrapText="1"/>
    </xf>
    <xf numFmtId="15" fontId="22" fillId="0" borderId="0" xfId="0" applyNumberFormat="1" applyFont="1"/>
    <xf numFmtId="0" fontId="31" fillId="0" borderId="0" xfId="23" applyFont="1" applyAlignment="1">
      <alignment wrapText="1"/>
    </xf>
    <xf numFmtId="0" fontId="6" fillId="0" borderId="0" xfId="23" applyAlignment="1">
      <alignment wrapText="1"/>
    </xf>
    <xf numFmtId="0" fontId="4" fillId="0" borderId="0" xfId="23" applyFont="1" applyBorder="1"/>
    <xf numFmtId="2" fontId="6" fillId="0" borderId="0" xfId="23" applyNumberFormat="1" applyBorder="1"/>
    <xf numFmtId="177" fontId="2" fillId="0" borderId="0" xfId="26" applyNumberFormat="1" applyFont="1"/>
    <xf numFmtId="9" fontId="10" fillId="0" borderId="0" xfId="12" applyNumberFormat="1" applyFont="1"/>
    <xf numFmtId="9" fontId="14" fillId="0" borderId="0" xfId="12" applyNumberFormat="1"/>
    <xf numFmtId="179" fontId="8" fillId="0" borderId="0" xfId="12" applyNumberFormat="1" applyFont="1"/>
    <xf numFmtId="0" fontId="2" fillId="0" borderId="15" xfId="12" applyFont="1" applyBorder="1"/>
    <xf numFmtId="0" fontId="2" fillId="0" borderId="14" xfId="12" applyFont="1" applyBorder="1"/>
    <xf numFmtId="0" fontId="14" fillId="0" borderId="9" xfId="12" applyBorder="1"/>
    <xf numFmtId="0" fontId="14" fillId="0" borderId="15" xfId="12" applyBorder="1"/>
    <xf numFmtId="0" fontId="2" fillId="0" borderId="9" xfId="12" applyFont="1" applyBorder="1"/>
    <xf numFmtId="0" fontId="14" fillId="0" borderId="8" xfId="12" applyBorder="1"/>
    <xf numFmtId="0" fontId="2" fillId="0" borderId="0" xfId="30"/>
    <xf numFmtId="1" fontId="19" fillId="0" borderId="0" xfId="0" applyNumberFormat="1" applyFont="1"/>
    <xf numFmtId="0" fontId="28" fillId="0" borderId="0" xfId="2" applyFont="1"/>
    <xf numFmtId="0" fontId="28" fillId="0" borderId="0" xfId="1" applyFont="1"/>
    <xf numFmtId="0" fontId="1" fillId="0" borderId="0" xfId="23" applyFont="1" applyAlignment="1">
      <alignment wrapText="1"/>
    </xf>
    <xf numFmtId="9" fontId="0" fillId="0" borderId="0" xfId="0" applyNumberFormat="1"/>
    <xf numFmtId="177" fontId="6" fillId="0" borderId="0" xfId="23" applyNumberFormat="1"/>
    <xf numFmtId="10" fontId="0" fillId="0" borderId="0" xfId="0" applyNumberFormat="1"/>
    <xf numFmtId="0" fontId="64" fillId="0" borderId="0" xfId="0" applyFont="1"/>
    <xf numFmtId="10" fontId="50" fillId="0" borderId="34" xfId="23" applyNumberFormat="1" applyFont="1" applyBorder="1" applyAlignment="1">
      <alignment horizontal="left" vertical="center" indent="2" shrinkToFit="1"/>
    </xf>
    <xf numFmtId="10" fontId="50" fillId="0" borderId="33" xfId="23" applyNumberFormat="1" applyFont="1" applyBorder="1" applyAlignment="1">
      <alignment horizontal="left" vertical="center" indent="2" shrinkToFit="1"/>
    </xf>
    <xf numFmtId="10" fontId="50" fillId="0" borderId="35" xfId="23" applyNumberFormat="1" applyFont="1" applyBorder="1" applyAlignment="1">
      <alignment horizontal="left" vertical="center" indent="2" shrinkToFit="1"/>
    </xf>
    <xf numFmtId="10" fontId="50" fillId="0" borderId="36" xfId="23" applyNumberFormat="1" applyFont="1" applyBorder="1" applyAlignment="1">
      <alignment horizontal="left" vertical="center" indent="2" shrinkToFit="1"/>
    </xf>
    <xf numFmtId="0" fontId="50" fillId="0" borderId="34" xfId="23" applyFont="1" applyBorder="1" applyAlignment="1">
      <alignment horizontal="center" vertical="center" wrapText="1"/>
    </xf>
    <xf numFmtId="0" fontId="50" fillId="0" borderId="33" xfId="23" applyFont="1" applyBorder="1" applyAlignment="1">
      <alignment horizontal="center" vertical="center" wrapText="1"/>
    </xf>
    <xf numFmtId="0" fontId="50" fillId="0" borderId="35" xfId="23" applyFont="1" applyBorder="1" applyAlignment="1">
      <alignment horizontal="center" vertical="center" wrapText="1"/>
    </xf>
    <xf numFmtId="0" fontId="50" fillId="0" borderId="36" xfId="23" applyFont="1" applyBorder="1" applyAlignment="1">
      <alignment horizontal="center" vertical="center" wrapText="1"/>
    </xf>
    <xf numFmtId="0" fontId="49" fillId="0" borderId="0" xfId="23" applyFont="1" applyAlignment="1">
      <alignment horizontal="left" wrapText="1"/>
    </xf>
    <xf numFmtId="0" fontId="49" fillId="0" borderId="5" xfId="23" applyFont="1" applyBorder="1" applyAlignment="1">
      <alignment horizontal="left" wrapText="1"/>
    </xf>
    <xf numFmtId="167" fontId="50" fillId="0" borderId="30" xfId="23" applyNumberFormat="1" applyFont="1" applyBorder="1" applyAlignment="1">
      <alignment horizontal="left" vertical="top" indent="2" shrinkToFit="1"/>
    </xf>
    <xf numFmtId="167" fontId="50" fillId="0" borderId="29" xfId="23" applyNumberFormat="1" applyFont="1" applyBorder="1" applyAlignment="1">
      <alignment horizontal="left" vertical="top" indent="2" shrinkToFit="1"/>
    </xf>
    <xf numFmtId="167" fontId="50" fillId="0" borderId="31" xfId="23" applyNumberFormat="1" applyFont="1" applyBorder="1" applyAlignment="1">
      <alignment horizontal="left" vertical="top" indent="2" shrinkToFit="1"/>
    </xf>
    <xf numFmtId="167" fontId="50" fillId="0" borderId="32" xfId="23" applyNumberFormat="1" applyFont="1" applyBorder="1" applyAlignment="1">
      <alignment horizontal="left" vertical="top" indent="2" shrinkToFit="1"/>
    </xf>
    <xf numFmtId="167" fontId="50" fillId="0" borderId="34" xfId="23" applyNumberFormat="1" applyFont="1" applyBorder="1" applyAlignment="1">
      <alignment horizontal="left" vertical="center" indent="2" shrinkToFit="1"/>
    </xf>
    <xf numFmtId="167" fontId="50" fillId="0" borderId="33" xfId="23" applyNumberFormat="1" applyFont="1" applyBorder="1" applyAlignment="1">
      <alignment horizontal="left" vertical="center" indent="2" shrinkToFit="1"/>
    </xf>
    <xf numFmtId="167" fontId="50" fillId="0" borderId="35" xfId="23" applyNumberFormat="1" applyFont="1" applyBorder="1" applyAlignment="1">
      <alignment horizontal="left" vertical="center" indent="2" shrinkToFit="1"/>
    </xf>
    <xf numFmtId="167" fontId="50" fillId="0" borderId="36" xfId="23" applyNumberFormat="1" applyFont="1" applyBorder="1" applyAlignment="1">
      <alignment horizontal="left" vertical="center" indent="2" shrinkToFit="1"/>
    </xf>
    <xf numFmtId="4" fontId="6" fillId="8" borderId="7" xfId="23" applyNumberFormat="1" applyFill="1" applyBorder="1" applyAlignment="1">
      <alignment horizontal="center"/>
    </xf>
    <xf numFmtId="4" fontId="56" fillId="14" borderId="0" xfId="14" applyNumberFormat="1" applyFont="1" applyFill="1" applyAlignment="1">
      <alignment horizontal="center"/>
    </xf>
    <xf numFmtId="4" fontId="42" fillId="9" borderId="0" xfId="14" applyNumberFormat="1" applyFill="1" applyAlignment="1">
      <alignment horizontal="center"/>
    </xf>
    <xf numFmtId="4" fontId="42" fillId="3" borderId="0" xfId="14" applyNumberFormat="1" applyFill="1" applyAlignment="1">
      <alignment horizontal="left"/>
    </xf>
    <xf numFmtId="4" fontId="42" fillId="8" borderId="7" xfId="14" applyNumberFormat="1" applyFill="1" applyBorder="1" applyAlignment="1">
      <alignment horizontal="center"/>
    </xf>
    <xf numFmtId="4" fontId="56" fillId="0" borderId="0" xfId="14" applyNumberFormat="1" applyFont="1" applyAlignment="1">
      <alignment horizontal="center"/>
    </xf>
    <xf numFmtId="4" fontId="56" fillId="0" borderId="13" xfId="14" applyNumberFormat="1" applyFont="1" applyBorder="1" applyAlignment="1">
      <alignment horizontal="center"/>
    </xf>
    <xf numFmtId="4" fontId="56" fillId="0" borderId="11" xfId="14" applyNumberFormat="1" applyFont="1" applyBorder="1" applyAlignment="1">
      <alignment horizontal="center"/>
    </xf>
    <xf numFmtId="4" fontId="42" fillId="0" borderId="10" xfId="14" applyNumberFormat="1" applyBorder="1" applyAlignment="1">
      <alignment horizontal="center"/>
    </xf>
    <xf numFmtId="4" fontId="56" fillId="0" borderId="10" xfId="14" applyNumberFormat="1" applyFont="1" applyBorder="1" applyAlignment="1">
      <alignment horizontal="center"/>
    </xf>
    <xf numFmtId="4" fontId="42" fillId="8" borderId="0" xfId="14" applyNumberFormat="1" applyFill="1" applyAlignment="1">
      <alignment horizontal="center"/>
    </xf>
    <xf numFmtId="4" fontId="42" fillId="14" borderId="0" xfId="14" applyNumberFormat="1" applyFill="1" applyAlignment="1">
      <alignment horizontal="center"/>
    </xf>
  </cellXfs>
  <cellStyles count="31">
    <cellStyle name="Bad" xfId="21" builtinId="27"/>
    <cellStyle name="Comma" xfId="26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4" xr:uid="{DB9154F2-28B5-44A6-974B-C1F9E9C5B216}"/>
    <cellStyle name="Heading 2" xfId="19" builtinId="17"/>
    <cellStyle name="Heading 3" xfId="20" builtinId="18"/>
    <cellStyle name="Hyperlink" xfId="29" builtinId="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3" xr:uid="{48F6F01B-E031-4092-96E3-BB2C0508DCA9}"/>
    <cellStyle name="Normal 6" xfId="27" xr:uid="{6A6574B2-62F5-40BC-8362-3AEC07F19B06}"/>
    <cellStyle name="Normal 8" xfId="30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5" xr:uid="{7E26E6EB-8324-43B8-A605-B399F50E7E49}"/>
    <cellStyle name="Percent 5" xfId="28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'Waterberg project'!$N$92</c:f>
              <c:strCache>
                <c:ptCount val="1"/>
                <c:pt idx="0">
                  <c:v>realisation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project'!$N$93:$N$98</c:f>
              <c:numCache>
                <c:formatCode>General</c:formatCode>
                <c:ptCount val="6"/>
                <c:pt idx="4">
                  <c:v>-75</c:v>
                </c:pt>
                <c:pt idx="5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576-82FF-3F0AFDB9F217}"/>
            </c:ext>
          </c:extLst>
        </c:ser>
        <c:ser>
          <c:idx val="1"/>
          <c:order val="1"/>
          <c:tx>
            <c:strRef>
              <c:f>'Waterberg project'!$O$92</c:f>
              <c:strCache>
                <c:ptCount val="1"/>
                <c:pt idx="0">
                  <c:v>capital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project'!$O$93:$O$98</c:f>
              <c:numCache>
                <c:formatCode>General</c:formatCode>
                <c:ptCount val="6"/>
                <c:pt idx="0">
                  <c:v>-30</c:v>
                </c:pt>
                <c:pt idx="1">
                  <c:v>-60</c:v>
                </c:pt>
                <c:pt idx="2">
                  <c:v>-200</c:v>
                </c:pt>
                <c:pt idx="3">
                  <c:v>-290</c:v>
                </c:pt>
                <c:pt idx="4">
                  <c:v>-200</c:v>
                </c:pt>
                <c:pt idx="5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A-4576-82FF-3F0AFDB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239536"/>
        <c:axId val="1574232880"/>
      </c:barChart>
      <c:catAx>
        <c:axId val="1574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2880"/>
        <c:crosses val="autoZero"/>
        <c:auto val="1"/>
        <c:lblAlgn val="ctr"/>
        <c:lblOffset val="100"/>
        <c:noMultiLvlLbl val="0"/>
      </c:catAx>
      <c:valAx>
        <c:axId val="1574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6152435869181"/>
          <c:y val="2.8155262617327086E-2"/>
          <c:w val="0.80106364466872593"/>
          <c:h val="0.71232501686187777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worksheet'!$O$54:$O$55</c:f>
              <c:numCache>
                <c:formatCode>#,##0.00</c:formatCode>
                <c:ptCount val="2"/>
                <c:pt idx="0">
                  <c:v>29.85</c:v>
                </c:pt>
                <c:pt idx="1">
                  <c:v>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085-91B6-004513A32086}"/>
            </c:ext>
          </c:extLst>
        </c:ser>
        <c:ser>
          <c:idx val="1"/>
          <c:order val="1"/>
          <c:tx>
            <c:v>Concentration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worksheet'!$P$54:$P$55</c:f>
              <c:numCache>
                <c:formatCode>#,##0.00</c:formatCode>
                <c:ptCount val="2"/>
                <c:pt idx="0">
                  <c:v>12.76195652173913</c:v>
                </c:pt>
                <c:pt idx="1">
                  <c:v>12.76195652173913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3-4085-91B6-004513A32086}"/>
            </c:ext>
          </c:extLst>
        </c:ser>
        <c:ser>
          <c:idx val="2"/>
          <c:order val="2"/>
          <c:tx>
            <c:strRef>
              <c:f>'Students worksheet'!$Q$53</c:f>
              <c:strCache>
                <c:ptCount val="1"/>
                <c:pt idx="0">
                  <c:v>Smelting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worksheet'!$Q$54:$Q$55</c:f>
              <c:numCache>
                <c:formatCode>#,##0.00</c:formatCode>
                <c:ptCount val="2"/>
                <c:pt idx="0">
                  <c:v>9.0147000000000013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3-4085-91B6-004513A32086}"/>
            </c:ext>
          </c:extLst>
        </c:ser>
        <c:ser>
          <c:idx val="3"/>
          <c:order val="3"/>
          <c:tx>
            <c:strRef>
              <c:f>'Students worksheet'!$R$53</c:f>
              <c:strCache>
                <c:ptCount val="1"/>
                <c:pt idx="0">
                  <c:v>Refining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worksheet'!$R$54:$R$55</c:f>
              <c:numCache>
                <c:formatCode>#,##0.00</c:formatCode>
                <c:ptCount val="2"/>
                <c:pt idx="0">
                  <c:v>3.5223000000000004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3-4085-91B6-004513A32086}"/>
            </c:ext>
          </c:extLst>
        </c:ser>
        <c:ser>
          <c:idx val="4"/>
          <c:order val="4"/>
          <c:tx>
            <c:strRef>
              <c:f>'Students worksheet'!$S$53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worksheet'!$S$54:$S$55</c:f>
              <c:numCache>
                <c:formatCode>#,##0.00</c:formatCode>
                <c:ptCount val="2"/>
                <c:pt idx="0">
                  <c:v>0</c:v>
                </c:pt>
                <c:pt idx="1">
                  <c:v>6.2287000000000008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3-4085-91B6-004513A32086}"/>
            </c:ext>
          </c:extLst>
        </c:ser>
        <c:ser>
          <c:idx val="5"/>
          <c:order val="5"/>
          <c:tx>
            <c:v>Series 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F53-4085-91B6-004513A3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1.7088136772958624E-2"/>
              <c:y val="0.25894436098737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9999952068453916E-2"/>
          <c:y val="0.85496375291737803"/>
          <c:w val="0.94912472266933479"/>
          <c:h val="0.1450362470826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9022535976105"/>
          <c:y val="3.3847943975739751E-2"/>
          <c:w val="0.80904002172142275"/>
          <c:h val="0.70784753971269365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worksheet'!$AB$54:$AB$55</c:f>
              <c:numCache>
                <c:formatCode>#,##0.00</c:formatCode>
                <c:ptCount val="2"/>
                <c:pt idx="0">
                  <c:v>356.38221153846149</c:v>
                </c:pt>
                <c:pt idx="1">
                  <c:v>356.38221153846149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BE5-B053-21E1F526E508}"/>
            </c:ext>
          </c:extLst>
        </c:ser>
        <c:ser>
          <c:idx val="1"/>
          <c:order val="1"/>
          <c:tx>
            <c:strRef>
              <c:f>'Students worksheet'!$AC$53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worksheet'!$AC$54:$AC$55</c:f>
              <c:numCache>
                <c:formatCode>#,##0.00</c:formatCode>
                <c:ptCount val="2"/>
                <c:pt idx="0">
                  <c:v>1.3323597396611686</c:v>
                </c:pt>
                <c:pt idx="1">
                  <c:v>1.3323597396611686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BE5-B053-21E1F526E508}"/>
            </c:ext>
          </c:extLst>
        </c:ser>
        <c:ser>
          <c:idx val="2"/>
          <c:order val="2"/>
          <c:tx>
            <c:v>Smelting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worksheet'!$AD$54:$AD$55</c:f>
              <c:numCache>
                <c:formatCode>#,##0.00</c:formatCode>
                <c:ptCount val="2"/>
                <c:pt idx="0">
                  <c:v>227.12660078746046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BE5-B053-21E1F526E508}"/>
            </c:ext>
          </c:extLst>
        </c:ser>
        <c:ser>
          <c:idx val="3"/>
          <c:order val="3"/>
          <c:tx>
            <c:v>Refining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worksheet'!$AE$54:$AE$55</c:f>
              <c:numCache>
                <c:formatCode>#,##0.00</c:formatCode>
                <c:ptCount val="2"/>
                <c:pt idx="0">
                  <c:v>208.38306347903807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D-4BE5-B053-21E1F526E508}"/>
            </c:ext>
          </c:extLst>
        </c:ser>
        <c:ser>
          <c:idx val="4"/>
          <c:order val="4"/>
          <c:tx>
            <c:strRef>
              <c:f>'Students worksheet'!$AF$53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worksheet'!$AF$54:$AF$55</c:f>
              <c:numCache>
                <c:formatCode>#,##0.00</c:formatCode>
                <c:ptCount val="2"/>
                <c:pt idx="0">
                  <c:v>0</c:v>
                </c:pt>
                <c:pt idx="1">
                  <c:v>444.05766235068103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D-4BE5-B053-21E1F526E508}"/>
            </c:ext>
          </c:extLst>
        </c:ser>
        <c:ser>
          <c:idx val="5"/>
          <c:order val="5"/>
          <c:tx>
            <c:v>series2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E9D-4BE5-B053-21E1F526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Overall emissions (kt)</a:t>
                </a:r>
              </a:p>
            </c:rich>
          </c:tx>
          <c:layout>
            <c:manualLayout>
              <c:xMode val="edge"/>
              <c:yMode val="edge"/>
              <c:x val="7.8724952484387732E-3"/>
              <c:y val="0.2687253328949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0181156665761602E-2"/>
          <c:y val="0.86134336666127087"/>
          <c:w val="0.87549953841976647"/>
          <c:h val="0.1386566333387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8247851331882"/>
          <c:y val="2.5093613298337709E-2"/>
          <c:w val="0.70740152660493094"/>
          <c:h val="0.6788245635348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'Students worksheet'!$O$21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tx1">
                <a:alpha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worksheet'!$O$22:$O$26</c:f>
              <c:numCache>
                <c:formatCode>#,##0.00</c:formatCode>
                <c:ptCount val="5"/>
                <c:pt idx="0">
                  <c:v>24.749483944954129</c:v>
                </c:pt>
                <c:pt idx="1">
                  <c:v>12.739408895375632</c:v>
                </c:pt>
                <c:pt idx="2">
                  <c:v>6.4313829850746282</c:v>
                </c:pt>
                <c:pt idx="3">
                  <c:v>1.1965064885496186</c:v>
                </c:pt>
                <c:pt idx="4">
                  <c:v>1.3080270000000001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C91-AABF-FA442713EFEA}"/>
            </c:ext>
          </c:extLst>
        </c:ser>
        <c:ser>
          <c:idx val="1"/>
          <c:order val="1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D2-4C91-AABF-FA442713EFEA}"/>
              </c:ext>
            </c:extLst>
          </c:dPt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worksheet'!$P$22:$P$26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2.2738571641791046</c:v>
                </c:pt>
                <c:pt idx="3">
                  <c:v>2.2585740458015273</c:v>
                </c:pt>
                <c:pt idx="4">
                  <c:v>4.8583860000000012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2-4C91-AABF-FA442713EFEA}"/>
            </c:ext>
          </c:extLst>
        </c:ser>
        <c:ser>
          <c:idx val="2"/>
          <c:order val="2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worksheet'!$Q$22:$Q$26</c:f>
              <c:numCache>
                <c:formatCode>#,##0.00</c:formatCode>
                <c:ptCount val="5"/>
                <c:pt idx="0">
                  <c:v>0</c:v>
                </c:pt>
                <c:pt idx="1">
                  <c:v>2.2547626363496696E-2</c:v>
                </c:pt>
                <c:pt idx="2">
                  <c:v>0.28255029850746272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2-4C91-AABF-FA442713EFEA}"/>
            </c:ext>
          </c:extLst>
        </c:ser>
        <c:ser>
          <c:idx val="3"/>
          <c:order val="3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worksheet'!$R$22:$R$26</c:f>
              <c:numCache>
                <c:formatCode>#,##0.00</c:formatCode>
                <c:ptCount val="5"/>
                <c:pt idx="0">
                  <c:v>5.1005160550458708</c:v>
                </c:pt>
                <c:pt idx="1">
                  <c:v>0</c:v>
                </c:pt>
                <c:pt idx="2">
                  <c:v>2.6909552238805975E-2</c:v>
                </c:pt>
                <c:pt idx="3">
                  <c:v>6.721946564885499E-2</c:v>
                </c:pt>
                <c:pt idx="4">
                  <c:v>6.2287000000000009E-2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488420704"/>
        <c:axId val="488421032"/>
      </c:barChart>
      <c:lineChart>
        <c:grouping val="standard"/>
        <c:varyColors val="0"/>
        <c:ser>
          <c:idx val="4"/>
          <c:order val="4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worksheet'!$V$11:$V$15</c:f>
              <c:numCache>
                <c:formatCode>#,##0.00</c:formatCode>
                <c:ptCount val="5"/>
                <c:pt idx="0" formatCode="#,##0.00000">
                  <c:v>0.1</c:v>
                </c:pt>
                <c:pt idx="1">
                  <c:v>4.2753623188405795E-2</c:v>
                </c:pt>
                <c:pt idx="2">
                  <c:v>3.0200000000000005E-2</c:v>
                </c:pt>
                <c:pt idx="3">
                  <c:v>1.1800000000000001E-2</c:v>
                </c:pt>
                <c:pt idx="4">
                  <c:v>2.0866666666666669E-2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2-4C91-AABF-FA442713EFEA}"/>
            </c:ext>
          </c:extLst>
        </c:ser>
        <c:ser>
          <c:idx val="5"/>
          <c:order val="5"/>
          <c:tx>
            <c:v>series2</c:v>
          </c:tx>
          <c:spPr>
            <a:ln w="0" cap="rnd">
              <a:noFill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2.9894512942945308E-3"/>
              <c:y val="0.1707735955578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"/>
      </c:valAx>
      <c:valAx>
        <c:axId val="496907200"/>
        <c:scaling>
          <c:orientation val="minMax"/>
          <c:max val="0.1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intensity (PJ/ t PGM)</a:t>
                </a:r>
              </a:p>
            </c:rich>
          </c:tx>
          <c:layout>
            <c:manualLayout>
              <c:xMode val="edge"/>
              <c:yMode val="edge"/>
              <c:x val="0.94046148556584208"/>
              <c:y val="0.12004228638086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>
              <a:alpha val="94000"/>
            </a:schemeClr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3009773277905419"/>
          <c:w val="1"/>
          <c:h val="0.1699023089951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011960098802"/>
          <c:y val="5.5637891706614956E-2"/>
          <c:w val="0.69081034922651563"/>
          <c:h val="0.63382840369886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worksheet'!$AF$13:$AF$17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205.79419438416227</c:v>
                </c:pt>
                <c:pt idx="3">
                  <c:v>204.41100414524209</c:v>
                </c:pt>
                <c:pt idx="4">
                  <c:v>439.70555786350155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5AC-B7D8-845193CD8EE3}"/>
            </c:ext>
          </c:extLst>
        </c:ser>
        <c:ser>
          <c:idx val="2"/>
          <c:order val="1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worksheet'!$AG$13:$AG$17</c:f>
              <c:numCache>
                <c:formatCode>#,##0.00</c:formatCode>
                <c:ptCount val="5"/>
                <c:pt idx="0">
                  <c:v>0</c:v>
                </c:pt>
                <c:pt idx="1">
                  <c:v>1.3323597396611686</c:v>
                </c:pt>
                <c:pt idx="2">
                  <c:v>1.5901099050203531</c:v>
                </c:pt>
                <c:pt idx="3">
                  <c:v>3.9720593337959769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5AC-B7D8-845193CD8EE3}"/>
            </c:ext>
          </c:extLst>
        </c:ser>
        <c:ser>
          <c:idx val="3"/>
          <c:order val="2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worksheet'!$AH$13:$AH$17</c:f>
              <c:numCache>
                <c:formatCode>#,##0.00</c:formatCode>
                <c:ptCount val="5"/>
                <c:pt idx="0">
                  <c:v>356.38221153846149</c:v>
                </c:pt>
                <c:pt idx="1">
                  <c:v>0</c:v>
                </c:pt>
                <c:pt idx="2">
                  <c:v>19.742296498277845</c:v>
                </c:pt>
                <c:pt idx="3">
                  <c:v>0</c:v>
                </c:pt>
                <c:pt idx="4">
                  <c:v>4.3521044871794885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8420704"/>
        <c:axId val="488421032"/>
      </c:barChart>
      <c:lineChart>
        <c:grouping val="standard"/>
        <c:varyColors val="0"/>
        <c:ser>
          <c:idx val="4"/>
          <c:order val="3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worksheet'!$AJ$13:$AJ$17</c:f>
              <c:numCache>
                <c:formatCode>#,##0.000</c:formatCode>
                <c:ptCount val="5"/>
                <c:pt idx="0" formatCode="#,##0.00">
                  <c:v>1.1939102564102562</c:v>
                </c:pt>
                <c:pt idx="1">
                  <c:v>4.4635167157828096E-3</c:v>
                </c:pt>
                <c:pt idx="2" formatCode="#,##0.00">
                  <c:v>0.76089313496636668</c:v>
                </c:pt>
                <c:pt idx="3" formatCode="#,##0.00">
                  <c:v>0.69810071517265682</c:v>
                </c:pt>
                <c:pt idx="4" formatCode="#,##0.00">
                  <c:v>1.4876303596337723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0-45AC-B7D8-845193CD8EE3}"/>
            </c:ext>
          </c:extLst>
        </c:ser>
        <c:ser>
          <c:idx val="0"/>
          <c:order val="4"/>
          <c:tx>
            <c:v>series2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Direct emissions (kt)</a:t>
                </a:r>
              </a:p>
            </c:rich>
          </c:tx>
          <c:layout>
            <c:manualLayout>
              <c:xMode val="edge"/>
              <c:yMode val="edge"/>
              <c:x val="1.5304864949215005E-2"/>
              <c:y val="0.21353506522021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0"/>
      </c:valAx>
      <c:valAx>
        <c:axId val="496907200"/>
        <c:scaling>
          <c:orientation val="minMax"/>
          <c:max val="1.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Carbon intensity (kt/ t PGM))</a:t>
                </a:r>
              </a:p>
            </c:rich>
          </c:tx>
          <c:layout>
            <c:manualLayout>
              <c:xMode val="edge"/>
              <c:yMode val="edge"/>
              <c:x val="0.94185318471031232"/>
              <c:y val="0.14708119730624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2347011738853011E-3"/>
          <c:y val="0.85132946547481625"/>
          <c:w val="0.99481558040681439"/>
          <c:h val="0.12754590586954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Relationship Id="rId5" Type="http://schemas.openxmlformats.org/officeDocument/2006/relationships/chart" Target="../charts/chart1.xml"/><Relationship Id="rId4" Type="http://schemas.openxmlformats.org/officeDocument/2006/relationships/image" Target="../media/image64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emf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7" Type="http://schemas.openxmlformats.org/officeDocument/2006/relationships/image" Target="../media/image40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5" Type="http://schemas.openxmlformats.org/officeDocument/2006/relationships/image" Target="../media/image42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7" Type="http://schemas.openxmlformats.org/officeDocument/2006/relationships/image" Target="../media/image53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6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0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3" Type="http://schemas.openxmlformats.org/officeDocument/2006/relationships/image" Target="../media/image73.emf"/><Relationship Id="rId7" Type="http://schemas.openxmlformats.org/officeDocument/2006/relationships/image" Target="../media/image69.emf"/><Relationship Id="rId2" Type="http://schemas.openxmlformats.org/officeDocument/2006/relationships/image" Target="../media/image74.emf"/><Relationship Id="rId1" Type="http://schemas.openxmlformats.org/officeDocument/2006/relationships/image" Target="../media/image75.emf"/><Relationship Id="rId6" Type="http://schemas.openxmlformats.org/officeDocument/2006/relationships/image" Target="../media/image70.emf"/><Relationship Id="rId5" Type="http://schemas.openxmlformats.org/officeDocument/2006/relationships/image" Target="../media/image71.emf"/><Relationship Id="rId4" Type="http://schemas.openxmlformats.org/officeDocument/2006/relationships/image" Target="../media/image72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77.emf"/><Relationship Id="rId2" Type="http://schemas.openxmlformats.org/officeDocument/2006/relationships/image" Target="../media/image78.emf"/><Relationship Id="rId1" Type="http://schemas.openxmlformats.org/officeDocument/2006/relationships/image" Target="../media/image79.emf"/><Relationship Id="rId4" Type="http://schemas.openxmlformats.org/officeDocument/2006/relationships/image" Target="../media/image76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1.emf"/><Relationship Id="rId3" Type="http://schemas.openxmlformats.org/officeDocument/2006/relationships/image" Target="../media/image86.emf"/><Relationship Id="rId7" Type="http://schemas.openxmlformats.org/officeDocument/2006/relationships/image" Target="../media/image82.emf"/><Relationship Id="rId2" Type="http://schemas.openxmlformats.org/officeDocument/2006/relationships/image" Target="../media/image87.emf"/><Relationship Id="rId1" Type="http://schemas.openxmlformats.org/officeDocument/2006/relationships/image" Target="../media/image88.emf"/><Relationship Id="rId6" Type="http://schemas.openxmlformats.org/officeDocument/2006/relationships/image" Target="../media/image83.emf"/><Relationship Id="rId5" Type="http://schemas.openxmlformats.org/officeDocument/2006/relationships/image" Target="../media/image84.emf"/><Relationship Id="rId10" Type="http://schemas.openxmlformats.org/officeDocument/2006/relationships/image" Target="../media/image89.emf"/><Relationship Id="rId4" Type="http://schemas.openxmlformats.org/officeDocument/2006/relationships/image" Target="../media/image85.emf"/><Relationship Id="rId9" Type="http://schemas.openxmlformats.org/officeDocument/2006/relationships/image" Target="../media/image80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0.emf"/><Relationship Id="rId3" Type="http://schemas.openxmlformats.org/officeDocument/2006/relationships/image" Target="../media/image95.emf"/><Relationship Id="rId7" Type="http://schemas.openxmlformats.org/officeDocument/2006/relationships/image" Target="../media/image91.emf"/><Relationship Id="rId2" Type="http://schemas.openxmlformats.org/officeDocument/2006/relationships/image" Target="../media/image96.emf"/><Relationship Id="rId1" Type="http://schemas.openxmlformats.org/officeDocument/2006/relationships/image" Target="../media/image97.emf"/><Relationship Id="rId6" Type="http://schemas.openxmlformats.org/officeDocument/2006/relationships/image" Target="../media/image92.emf"/><Relationship Id="rId5" Type="http://schemas.openxmlformats.org/officeDocument/2006/relationships/image" Target="../media/image93.emf"/><Relationship Id="rId4" Type="http://schemas.openxmlformats.org/officeDocument/2006/relationships/image" Target="../media/image9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3" Type="http://schemas.openxmlformats.org/officeDocument/2006/relationships/image" Target="../media/image104.emf"/><Relationship Id="rId7" Type="http://schemas.openxmlformats.org/officeDocument/2006/relationships/image" Target="../media/image100.emf"/><Relationship Id="rId2" Type="http://schemas.openxmlformats.org/officeDocument/2006/relationships/image" Target="../media/image105.emf"/><Relationship Id="rId1" Type="http://schemas.openxmlformats.org/officeDocument/2006/relationships/image" Target="../media/image106.emf"/><Relationship Id="rId6" Type="http://schemas.openxmlformats.org/officeDocument/2006/relationships/image" Target="../media/image101.emf"/><Relationship Id="rId5" Type="http://schemas.openxmlformats.org/officeDocument/2006/relationships/image" Target="../media/image102.emf"/><Relationship Id="rId10" Type="http://schemas.openxmlformats.org/officeDocument/2006/relationships/image" Target="../media/image107.emf"/><Relationship Id="rId4" Type="http://schemas.openxmlformats.org/officeDocument/2006/relationships/image" Target="../media/image103.emf"/><Relationship Id="rId9" Type="http://schemas.openxmlformats.org/officeDocument/2006/relationships/image" Target="../media/image98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9.emf"/><Relationship Id="rId3" Type="http://schemas.openxmlformats.org/officeDocument/2006/relationships/image" Target="../media/image114.emf"/><Relationship Id="rId7" Type="http://schemas.openxmlformats.org/officeDocument/2006/relationships/image" Target="../media/image110.emf"/><Relationship Id="rId2" Type="http://schemas.openxmlformats.org/officeDocument/2006/relationships/image" Target="../media/image115.emf"/><Relationship Id="rId1" Type="http://schemas.openxmlformats.org/officeDocument/2006/relationships/image" Target="../media/image116.emf"/><Relationship Id="rId6" Type="http://schemas.openxmlformats.org/officeDocument/2006/relationships/image" Target="../media/image111.emf"/><Relationship Id="rId5" Type="http://schemas.openxmlformats.org/officeDocument/2006/relationships/image" Target="../media/image112.emf"/><Relationship Id="rId10" Type="http://schemas.openxmlformats.org/officeDocument/2006/relationships/image" Target="../media/image117.emf"/><Relationship Id="rId4" Type="http://schemas.openxmlformats.org/officeDocument/2006/relationships/image" Target="../media/image113.emf"/><Relationship Id="rId9" Type="http://schemas.openxmlformats.org/officeDocument/2006/relationships/image" Target="../media/image108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8.emf"/><Relationship Id="rId3" Type="http://schemas.openxmlformats.org/officeDocument/2006/relationships/image" Target="../media/image123.emf"/><Relationship Id="rId7" Type="http://schemas.openxmlformats.org/officeDocument/2006/relationships/image" Target="../media/image119.emf"/><Relationship Id="rId2" Type="http://schemas.openxmlformats.org/officeDocument/2006/relationships/image" Target="../media/image124.emf"/><Relationship Id="rId1" Type="http://schemas.openxmlformats.org/officeDocument/2006/relationships/image" Target="../media/image125.emf"/><Relationship Id="rId6" Type="http://schemas.openxmlformats.org/officeDocument/2006/relationships/image" Target="../media/image120.emf"/><Relationship Id="rId5" Type="http://schemas.openxmlformats.org/officeDocument/2006/relationships/image" Target="../media/image121.emf"/><Relationship Id="rId4" Type="http://schemas.openxmlformats.org/officeDocument/2006/relationships/image" Target="../media/image122.emf"/></Relationships>
</file>

<file path=xl/drawings/_rels/vmlDrawing2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7.emf"/><Relationship Id="rId3" Type="http://schemas.openxmlformats.org/officeDocument/2006/relationships/image" Target="../media/image132.emf"/><Relationship Id="rId7" Type="http://schemas.openxmlformats.org/officeDocument/2006/relationships/image" Target="../media/image128.emf"/><Relationship Id="rId2" Type="http://schemas.openxmlformats.org/officeDocument/2006/relationships/image" Target="../media/image133.emf"/><Relationship Id="rId1" Type="http://schemas.openxmlformats.org/officeDocument/2006/relationships/image" Target="../media/image134.emf"/><Relationship Id="rId6" Type="http://schemas.openxmlformats.org/officeDocument/2006/relationships/image" Target="../media/image129.emf"/><Relationship Id="rId5" Type="http://schemas.openxmlformats.org/officeDocument/2006/relationships/image" Target="../media/image130.emf"/><Relationship Id="rId10" Type="http://schemas.openxmlformats.org/officeDocument/2006/relationships/image" Target="../media/image135.emf"/><Relationship Id="rId4" Type="http://schemas.openxmlformats.org/officeDocument/2006/relationships/image" Target="../media/image131.emf"/><Relationship Id="rId9" Type="http://schemas.openxmlformats.org/officeDocument/2006/relationships/image" Target="../media/image12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7" Type="http://schemas.openxmlformats.org/officeDocument/2006/relationships/image" Target="../media/image30.emf"/><Relationship Id="rId2" Type="http://schemas.openxmlformats.org/officeDocument/2006/relationships/image" Target="../media/image35.emf"/><Relationship Id="rId1" Type="http://schemas.openxmlformats.org/officeDocument/2006/relationships/image" Target="../media/image36.emf"/><Relationship Id="rId6" Type="http://schemas.openxmlformats.org/officeDocument/2006/relationships/image" Target="../media/image31.emf"/><Relationship Id="rId5" Type="http://schemas.openxmlformats.org/officeDocument/2006/relationships/image" Target="../media/image32.emf"/><Relationship Id="rId4" Type="http://schemas.openxmlformats.org/officeDocument/2006/relationships/image" Target="../media/image3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247650</xdr:colOff>
          <xdr:row>12</xdr:row>
          <xdr:rowOff>133350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238125</xdr:colOff>
          <xdr:row>28</xdr:row>
          <xdr:rowOff>95250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247650</xdr:colOff>
          <xdr:row>6</xdr:row>
          <xdr:rowOff>95250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590550</xdr:colOff>
          <xdr:row>17</xdr:row>
          <xdr:rowOff>19050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561975</xdr:colOff>
          <xdr:row>22</xdr:row>
          <xdr:rowOff>0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E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E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E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1314450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F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19050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F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F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F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F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F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F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10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10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10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10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10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10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10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43</xdr:row>
      <xdr:rowOff>9525</xdr:rowOff>
    </xdr:from>
    <xdr:to>
      <xdr:col>13</xdr:col>
      <xdr:colOff>510887</xdr:colOff>
      <xdr:row>64</xdr:row>
      <xdr:rowOff>169025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39225"/>
          <a:ext cx="9334847" cy="467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169372</xdr:colOff>
      <xdr:row>78</xdr:row>
      <xdr:rowOff>71957</xdr:rowOff>
    </xdr:from>
    <xdr:to>
      <xdr:col>7</xdr:col>
      <xdr:colOff>209550</xdr:colOff>
      <xdr:row>86</xdr:row>
      <xdr:rowOff>57496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32" y="16355897"/>
          <a:ext cx="4673138" cy="144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64944</xdr:colOff>
      <xdr:row>87</xdr:row>
      <xdr:rowOff>119062</xdr:rowOff>
    </xdr:from>
    <xdr:to>
      <xdr:col>9</xdr:col>
      <xdr:colOff>592085</xdr:colOff>
      <xdr:row>107</xdr:row>
      <xdr:rowOff>174307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04" y="18048922"/>
          <a:ext cx="6955155" cy="371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12</xdr:col>
      <xdr:colOff>142875</xdr:colOff>
      <xdr:row>40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4720"/>
          <a:ext cx="6238875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85725</xdr:rowOff>
    </xdr:from>
    <xdr:to>
      <xdr:col>16</xdr:col>
      <xdr:colOff>320040</xdr:colOff>
      <xdr:row>37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634365"/>
          <a:ext cx="9172575" cy="6275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85725</xdr:colOff>
      <xdr:row>15</xdr:row>
      <xdr:rowOff>142875</xdr:rowOff>
    </xdr:from>
    <xdr:to>
      <xdr:col>18</xdr:col>
      <xdr:colOff>600075</xdr:colOff>
      <xdr:row>20</xdr:row>
      <xdr:rowOff>66675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11058525" y="2886075"/>
          <a:ext cx="514350" cy="838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</xdr:col>
      <xdr:colOff>33618</xdr:colOff>
      <xdr:row>40</xdr:row>
      <xdr:rowOff>11205</xdr:rowOff>
    </xdr:from>
    <xdr:to>
      <xdr:col>18</xdr:col>
      <xdr:colOff>54573</xdr:colOff>
      <xdr:row>80</xdr:row>
      <xdr:rowOff>64545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818" y="7326405"/>
          <a:ext cx="9782175" cy="737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355787</xdr:colOff>
      <xdr:row>83</xdr:row>
      <xdr:rowOff>150159</xdr:rowOff>
    </xdr:from>
    <xdr:to>
      <xdr:col>16</xdr:col>
      <xdr:colOff>384362</xdr:colOff>
      <xdr:row>91</xdr:row>
      <xdr:rowOff>12775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587" y="15031571"/>
          <a:ext cx="7953375" cy="1293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55</xdr:row>
      <xdr:rowOff>133350</xdr:rowOff>
    </xdr:from>
    <xdr:to>
      <xdr:col>19</xdr:col>
      <xdr:colOff>438150</xdr:colOff>
      <xdr:row>59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>
          <a:off x="11610975" y="10191750"/>
          <a:ext cx="409575" cy="7791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6</xdr:col>
      <xdr:colOff>435460</xdr:colOff>
      <xdr:row>18</xdr:row>
      <xdr:rowOff>39384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47700"/>
          <a:ext cx="5779770" cy="250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455295</xdr:colOff>
      <xdr:row>29</xdr:row>
      <xdr:rowOff>104774</xdr:rowOff>
    </xdr:from>
    <xdr:to>
      <xdr:col>6</xdr:col>
      <xdr:colOff>1615441</xdr:colOff>
      <xdr:row>53</xdr:row>
      <xdr:rowOff>93882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" y="5648324"/>
          <a:ext cx="6669406" cy="41439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132031</xdr:colOff>
      <xdr:row>77</xdr:row>
      <xdr:rowOff>137012</xdr:rowOff>
    </xdr:from>
    <xdr:to>
      <xdr:col>11</xdr:col>
      <xdr:colOff>401774</xdr:colOff>
      <xdr:row>116</xdr:row>
      <xdr:rowOff>129833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1" y="13967312"/>
          <a:ext cx="10232893" cy="667937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98162</xdr:colOff>
      <xdr:row>39</xdr:row>
      <xdr:rowOff>50733</xdr:rowOff>
    </xdr:from>
    <xdr:to>
      <xdr:col>8</xdr:col>
      <xdr:colOff>445569</xdr:colOff>
      <xdr:row>41</xdr:row>
      <xdr:rowOff>135887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 bwMode="auto">
        <a:xfrm>
          <a:off x="8513292" y="7405690"/>
          <a:ext cx="347407" cy="43302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1</xdr:col>
      <xdr:colOff>186688</xdr:colOff>
      <xdr:row>54</xdr:row>
      <xdr:rowOff>53195</xdr:rowOff>
    </xdr:from>
    <xdr:to>
      <xdr:col>6</xdr:col>
      <xdr:colOff>497884</xdr:colOff>
      <xdr:row>76</xdr:row>
      <xdr:rowOff>20697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23" y="7299522"/>
          <a:ext cx="5825197" cy="370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348551</xdr:colOff>
      <xdr:row>57</xdr:row>
      <xdr:rowOff>82271</xdr:rowOff>
    </xdr:from>
    <xdr:to>
      <xdr:col>9</xdr:col>
      <xdr:colOff>83045</xdr:colOff>
      <xdr:row>59</xdr:row>
      <xdr:rowOff>167723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 bwMode="auto">
        <a:xfrm>
          <a:off x="7038032" y="7834156"/>
          <a:ext cx="342628" cy="42249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</xdr:col>
      <xdr:colOff>476981</xdr:colOff>
      <xdr:row>93</xdr:row>
      <xdr:rowOff>59344</xdr:rowOff>
    </xdr:from>
    <xdr:to>
      <xdr:col>4</xdr:col>
      <xdr:colOff>244005</xdr:colOff>
      <xdr:row>104</xdr:row>
      <xdr:rowOff>21038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438979</xdr:colOff>
      <xdr:row>93</xdr:row>
      <xdr:rowOff>0</xdr:rowOff>
    </xdr:from>
    <xdr:to>
      <xdr:col>12</xdr:col>
      <xdr:colOff>181093</xdr:colOff>
      <xdr:row>95</xdr:row>
      <xdr:rowOff>93073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 bwMode="auto">
        <a:xfrm>
          <a:off x="11032436" y="16772283"/>
          <a:ext cx="355027" cy="44094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10</xdr:col>
      <xdr:colOff>554535</xdr:colOff>
      <xdr:row>27</xdr:row>
      <xdr:rowOff>95250</xdr:rowOff>
    </xdr:from>
    <xdr:to>
      <xdr:col>11</xdr:col>
      <xdr:colOff>504824</xdr:colOff>
      <xdr:row>32</xdr:row>
      <xdr:rowOff>132110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 bwMode="auto">
        <a:xfrm rot="16200000">
          <a:off x="10064825" y="5177260"/>
          <a:ext cx="1122710" cy="902789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431072</xdr:colOff>
      <xdr:row>21</xdr:row>
      <xdr:rowOff>109656</xdr:rowOff>
    </xdr:from>
    <xdr:to>
      <xdr:col>8</xdr:col>
      <xdr:colOff>335115</xdr:colOff>
      <xdr:row>23</xdr:row>
      <xdr:rowOff>167394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 bwMode="auto">
        <a:xfrm>
          <a:off x="8233289" y="3795417"/>
          <a:ext cx="516956" cy="438738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11</xdr:col>
      <xdr:colOff>438979</xdr:colOff>
      <xdr:row>104</xdr:row>
      <xdr:rowOff>0</xdr:rowOff>
    </xdr:from>
    <xdr:to>
      <xdr:col>12</xdr:col>
      <xdr:colOff>181093</xdr:colOff>
      <xdr:row>106</xdr:row>
      <xdr:rowOff>93073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 bwMode="auto">
        <a:xfrm>
          <a:off x="11007919" y="16573500"/>
          <a:ext cx="353619" cy="43978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22</xdr:col>
      <xdr:colOff>180975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5669280"/>
          <a:ext cx="3838575" cy="2106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1041400</xdr:colOff>
      <xdr:row>57</xdr:row>
      <xdr:rowOff>38099</xdr:rowOff>
    </xdr:from>
    <xdr:to>
      <xdr:col>17</xdr:col>
      <xdr:colOff>457200</xdr:colOff>
      <xdr:row>77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61</xdr:row>
      <xdr:rowOff>158750</xdr:rowOff>
    </xdr:from>
    <xdr:to>
      <xdr:col>31</xdr:col>
      <xdr:colOff>515938</xdr:colOff>
      <xdr:row>81</xdr:row>
      <xdr:rowOff>163754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140907</xdr:colOff>
      <xdr:row>27</xdr:row>
      <xdr:rowOff>87660</xdr:rowOff>
    </xdr:from>
    <xdr:to>
      <xdr:col>19</xdr:col>
      <xdr:colOff>389862</xdr:colOff>
      <xdr:row>47</xdr:row>
      <xdr:rowOff>74280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608092</xdr:colOff>
      <xdr:row>21</xdr:row>
      <xdr:rowOff>122117</xdr:rowOff>
    </xdr:from>
    <xdr:to>
      <xdr:col>33</xdr:col>
      <xdr:colOff>71613</xdr:colOff>
      <xdr:row>42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397563</xdr:colOff>
      <xdr:row>19</xdr:row>
      <xdr:rowOff>22496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14350"/>
          <a:ext cx="4660953" cy="2761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6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19050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6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171450</xdr:rowOff>
    </xdr:from>
    <xdr:to>
      <xdr:col>19</xdr:col>
      <xdr:colOff>266118</xdr:colOff>
      <xdr:row>21</xdr:row>
      <xdr:rowOff>37736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8095" y="1072515"/>
          <a:ext cx="4659048" cy="276569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31</xdr:row>
      <xdr:rowOff>26670</xdr:rowOff>
    </xdr:from>
    <xdr:to>
      <xdr:col>27</xdr:col>
      <xdr:colOff>40743</xdr:colOff>
      <xdr:row>56</xdr:row>
      <xdr:rowOff>178457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5636895"/>
          <a:ext cx="9327618" cy="467616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C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C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C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19050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C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19050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C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C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C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D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D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D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D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E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E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E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E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E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E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E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E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E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9525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E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F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F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F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F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F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F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F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F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20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20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20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20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20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20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20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20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20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857250</xdr:colOff>
          <xdr:row>6</xdr:row>
          <xdr:rowOff>114300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20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21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21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21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21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21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21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21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21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21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1</xdr:col>
          <xdr:colOff>0</xdr:colOff>
          <xdr:row>5</xdr:row>
          <xdr:rowOff>114300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21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22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22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22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22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22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22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22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22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23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23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23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23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23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23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23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23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19050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23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47625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23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7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7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7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8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8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8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9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9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9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A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A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581025</xdr:colOff>
          <xdr:row>5</xdr:row>
          <xdr:rowOff>19050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A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B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9525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B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B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B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B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C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9525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C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C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C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C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857250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D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D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D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D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D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D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D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"/>
      <sheetName val="IND2017"/>
      <sheetName val="PAMS central control panel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1">
          <cell r="R31">
            <v>4.5246489747494749</v>
          </cell>
          <cell r="S31">
            <v>32.653642004977343</v>
          </cell>
        </row>
        <row r="36">
          <cell r="S36">
            <v>6.6440578329725435</v>
          </cell>
        </row>
      </sheetData>
      <sheetData sheetId="56"/>
      <sheetData sheetId="57"/>
      <sheetData sheetId="58"/>
      <sheetData sheetId="59">
        <row r="47">
          <cell r="P47">
            <v>0.04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Tlotlo Motlhabi" id="{FFAA1128-46E9-4630-9019-FB18BECEF987}" userId="S::MTLTLO006@myuct.ac.za::0f21ca85-7b32-445b-a2bb-dca80c6d68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9-09T14:00:31.81" personId="{B1B3113A-9AEB-4223-A956-A0CFC873B37D}" id="{E675FE30-2045-4711-929A-2790AA80926A}">
    <text>IRE seems to have a problem with TOPxx parameters in the new import templates</text>
  </threadedComment>
  <threadedComment ref="E13" dT="2021-09-09T14:00:31.81" personId="{B1B3113A-9AEB-4223-A956-A0CFC873B37D}" id="{E49AB5DA-A399-4F48-82A4-0E5DB3EB90DB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0-11-16T01:04:37.93" personId="{FFAA1128-46E9-4630-9019-FB18BECEF987}" id="{E88FE079-B478-4407-94CD-DA593F2B7F90}">
    <text>By Gavin M. Mudd
Sustainability Reporting and the
Platinum Group Metals:A Global
Mining Industry Leader?</text>
  </threadedComment>
  <threadedComment ref="E16" dT="2020-11-16T01:25:18.42" personId="{FFAA1128-46E9-4630-9019-FB18BECEF987}" id="{EE5B7DE6-5DDF-43C2-AE46-F1DAD2057621}">
    <text>http://www.saimm.co.za/Journal/v111n02p127.pdf</text>
  </threadedComment>
  <threadedComment ref="E17" dT="2020-11-16T01:25:27.50" personId="{FFAA1128-46E9-4630-9019-FB18BECEF987}" id="{1BADCB60-4A53-4677-8804-80A0425E6F8A}">
    <text>http://www.saimm.co.za/Journal/v111n02p127.pdf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1-16T01:04:11.04" personId="{FFAA1128-46E9-4630-9019-FB18BECEF987}" id="{AA05C491-62CE-4DC7-B36B-B11B9F980D40}">
    <text>By Gavin M. Mudd
Sustainability Reporting and the
Platinum Group Metals:A Global
Mining Industry Leader?</text>
  </threadedComment>
  <threadedComment ref="J3" dT="2020-11-16T02:02:06.78" personId="{FFAA1128-46E9-4630-9019-FB18BECEF987}" id="{6B98113D-6081-4E48-AE75-F78FE6672444}">
    <text>http://www.saimm.co.za/Journal/v111n02p127.pdf</text>
  </threadedComment>
  <threadedComment ref="O3" dT="2020-11-16T06:41:32.50" personId="{FFAA1128-46E9-4630-9019-FB18BECEF987}" id="{AC92CB56-82DB-4B5D-B941-DF705CEAD5C7}">
    <text>assumed based on hypothesis</text>
  </threadedComment>
  <threadedComment ref="O3" dT="2020-11-19T12:02:14.98" personId="{FFAA1128-46E9-4630-9019-FB18BECEF987}" id="{0BCD02F3-DFE9-4736-94D4-486DF8B6BB63}" parentId="{AC92CB56-82DB-4B5D-B941-DF705CEAD5C7}">
    <text>actual 2018 production volume</text>
  </threadedComment>
  <threadedComment ref="N5" dT="2020-11-16T06:42:56.77" personId="{FFAA1128-46E9-4630-9019-FB18BECEF987}" id="{18658949-528A-4F4B-9C56-C58A62EC879B}">
    <text>PGE content per processsed material used along with tPGMs basis, to obtain material broken or milled etc as per energy intensity of operations.</text>
  </threadedComment>
  <threadedComment ref="AD5" dT="2020-11-16T03:05:23.45" personId="{FFAA1128-46E9-4630-9019-FB18BECEF987}" id="{6145DA79-D051-4047-9F27-84C2E951044F}">
    <text>ore to waste ratio (5:10)</text>
  </threadedComment>
  <threadedComment ref="AD5" dT="2020-11-16T03:06:25.94" personId="{FFAA1128-46E9-4630-9019-FB18BECEF987}" id="{96B5D129-E0A2-40D2-942D-9EC7C65095C0}" parentId="{6145DA79-D051-4047-9F27-84C2E951044F}">
    <text>PGE Production in Southern Africa, Part II:
Environmental Aspects</text>
  </threadedComment>
  <threadedComment ref="A10" dT="2020-11-16T01:04:37.93" personId="{FFAA1128-46E9-4630-9019-FB18BECEF987}" id="{0A59BDF7-4D46-46BA-90DA-BB7CD1EFD7CF}">
    <text>By Gavin M. Mudd
Sustainability Reporting and the
Platinum Group Metals:A Global
Mining Industry Leader?</text>
  </threadedComment>
  <threadedComment ref="AE12" dT="2020-12-07T08:25:14.64" personId="{FFAA1128-46E9-4630-9019-FB18BECEF987}" id="{9764F060-7DB0-493B-A7E3-3A98617B94B8}">
    <text>only add data when doing overall emissions comparison, plus use 2019 grid.</text>
  </threadedComment>
  <threadedComment ref="I13" dT="2020-12-07T08:16:41.49" personId="{FFAA1128-46E9-4630-9019-FB18BECEF987}" id="{E523209E-A9A9-4704-835D-C67239D35F48}">
    <text>assume liquid fuels only when modeling because difficult to model this way.</text>
  </threadedComment>
  <threadedComment ref="C21" dT="2020-11-16T01:25:18.42" personId="{FFAA1128-46E9-4630-9019-FB18BECEF987}" id="{813F39A1-7752-4FE7-AB6E-7D2209CAB369}">
    <text>http://www.saimm.co.za/Journal/v111n02p127.pdf</text>
  </threadedComment>
  <threadedComment ref="C22" dT="2020-11-16T01:25:27.50" personId="{FFAA1128-46E9-4630-9019-FB18BECEF987}" id="{A1B953A0-D992-4761-B95D-70CFA376128C}">
    <text>http://www.saimm.co.za/Journal/v111n02p127.pdf</text>
  </threadedComment>
  <threadedComment ref="A25" dT="2020-11-16T01:57:08.67" personId="{FFAA1128-46E9-4630-9019-FB18BECEF987}" id="{7D5A5BA3-FB39-4533-875B-585051EE6749}">
    <text>By Gavin M. Mudd
Sustainability Reporting and the
Platinum Group Metals:A Global
Mining Industry Leader?</text>
  </threadedComment>
  <threadedComment ref="A32" dT="2020-11-16T03:04:55.69" personId="{FFAA1128-46E9-4630-9019-FB18BECEF987}" id="{E2D5D6DA-DA59-4861-B548-3D0F447C0832}">
    <text>PGE Production in Southern Africa, Part II:
Environmental Aspects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" dT="2021-08-03T12:35:55.17" personId="{B1B3113A-9AEB-4223-A956-A0CFC873B37D}" id="{AA4B25D4-7DBE-41D2-9B54-DAD2ADA2BB92}">
    <text>going with Gross. Need to add beneficiation as a separate activity/technology in the model.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image" Target="../media/image34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12" Type="http://schemas.openxmlformats.org/officeDocument/2006/relationships/control" Target="../activeX/activeX34.xml"/><Relationship Id="rId17" Type="http://schemas.openxmlformats.org/officeDocument/2006/relationships/image" Target="../media/image36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6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openxmlformats.org/officeDocument/2006/relationships/image" Target="../media/image33.emf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10" Type="http://schemas.openxmlformats.org/officeDocument/2006/relationships/control" Target="../activeX/activeX33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Relationship Id="rId14" Type="http://schemas.openxmlformats.org/officeDocument/2006/relationships/control" Target="../activeX/activeX35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8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7.emf"/><Relationship Id="rId10" Type="http://schemas.openxmlformats.org/officeDocument/2006/relationships/comments" Target="../comments2.xml"/><Relationship Id="rId4" Type="http://schemas.openxmlformats.org/officeDocument/2006/relationships/control" Target="../activeX/activeX37.xml"/><Relationship Id="rId9" Type="http://schemas.openxmlformats.org/officeDocument/2006/relationships/image" Target="../media/image39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Relationship Id="rId4" Type="http://schemas.microsoft.com/office/2017/10/relationships/threadedComment" Target="../threadedComments/threadedComment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s1.q4cdn.com/169714374/files/doc_presentations/2020/01/Platinum-Group-Corporate-Presentation-January-7-2020-FINAL.pdf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7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72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9.emf"/><Relationship Id="rId12" Type="http://schemas.openxmlformats.org/officeDocument/2006/relationships/control" Target="../activeX/activeX58.xml"/><Relationship Id="rId17" Type="http://schemas.openxmlformats.org/officeDocument/2006/relationships/image" Target="../media/image74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60.xml"/><Relationship Id="rId20" Type="http://schemas.openxmlformats.org/officeDocument/2006/relationships/comments" Target="../comments8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55.xml"/><Relationship Id="rId11" Type="http://schemas.openxmlformats.org/officeDocument/2006/relationships/image" Target="../media/image71.emf"/><Relationship Id="rId5" Type="http://schemas.openxmlformats.org/officeDocument/2006/relationships/image" Target="../media/image68.emf"/><Relationship Id="rId15" Type="http://schemas.openxmlformats.org/officeDocument/2006/relationships/image" Target="../media/image73.emf"/><Relationship Id="rId10" Type="http://schemas.openxmlformats.org/officeDocument/2006/relationships/control" Target="../activeX/activeX57.xml"/><Relationship Id="rId19" Type="http://schemas.openxmlformats.org/officeDocument/2006/relationships/image" Target="../media/image75.emf"/><Relationship Id="rId4" Type="http://schemas.openxmlformats.org/officeDocument/2006/relationships/control" Target="../activeX/activeX54.xml"/><Relationship Id="rId9" Type="http://schemas.openxmlformats.org/officeDocument/2006/relationships/image" Target="../media/image70.emf"/><Relationship Id="rId14" Type="http://schemas.openxmlformats.org/officeDocument/2006/relationships/control" Target="../activeX/activeX5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77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63.xml"/><Relationship Id="rId11" Type="http://schemas.openxmlformats.org/officeDocument/2006/relationships/image" Target="../media/image79.emf"/><Relationship Id="rId5" Type="http://schemas.openxmlformats.org/officeDocument/2006/relationships/image" Target="../media/image76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78.emf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84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88.emf"/><Relationship Id="rId7" Type="http://schemas.openxmlformats.org/officeDocument/2006/relationships/image" Target="../media/image81.emf"/><Relationship Id="rId12" Type="http://schemas.openxmlformats.org/officeDocument/2006/relationships/control" Target="../activeX/activeX70.xml"/><Relationship Id="rId17" Type="http://schemas.openxmlformats.org/officeDocument/2006/relationships/image" Target="../media/image86.emf"/><Relationship Id="rId2" Type="http://schemas.openxmlformats.org/officeDocument/2006/relationships/drawing" Target="../drawings/drawing23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67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23" Type="http://schemas.openxmlformats.org/officeDocument/2006/relationships/image" Target="../media/image89.emf"/><Relationship Id="rId10" Type="http://schemas.openxmlformats.org/officeDocument/2006/relationships/control" Target="../activeX/activeX69.xml"/><Relationship Id="rId19" Type="http://schemas.openxmlformats.org/officeDocument/2006/relationships/image" Target="../media/image87.emf"/><Relationship Id="rId4" Type="http://schemas.openxmlformats.org/officeDocument/2006/relationships/control" Target="../activeX/activeX66.xml"/><Relationship Id="rId9" Type="http://schemas.openxmlformats.org/officeDocument/2006/relationships/image" Target="../media/image82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94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91.emf"/><Relationship Id="rId12" Type="http://schemas.openxmlformats.org/officeDocument/2006/relationships/control" Target="../activeX/activeX80.xml"/><Relationship Id="rId17" Type="http://schemas.openxmlformats.org/officeDocument/2006/relationships/image" Target="../media/image96.emf"/><Relationship Id="rId2" Type="http://schemas.openxmlformats.org/officeDocument/2006/relationships/drawing" Target="../drawings/drawing24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77.xml"/><Relationship Id="rId11" Type="http://schemas.openxmlformats.org/officeDocument/2006/relationships/image" Target="../media/image93.emf"/><Relationship Id="rId5" Type="http://schemas.openxmlformats.org/officeDocument/2006/relationships/image" Target="../media/image90.emf"/><Relationship Id="rId15" Type="http://schemas.openxmlformats.org/officeDocument/2006/relationships/image" Target="../media/image95.emf"/><Relationship Id="rId10" Type="http://schemas.openxmlformats.org/officeDocument/2006/relationships/control" Target="../activeX/activeX79.xml"/><Relationship Id="rId19" Type="http://schemas.openxmlformats.org/officeDocument/2006/relationships/image" Target="../media/image97.emf"/><Relationship Id="rId4" Type="http://schemas.openxmlformats.org/officeDocument/2006/relationships/control" Target="../activeX/activeX76.xml"/><Relationship Id="rId9" Type="http://schemas.openxmlformats.org/officeDocument/2006/relationships/image" Target="../media/image92.emf"/><Relationship Id="rId14" Type="http://schemas.openxmlformats.org/officeDocument/2006/relationships/control" Target="../activeX/activeX81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control" Target="../activeX/activeX89.xml"/><Relationship Id="rId18" Type="http://schemas.openxmlformats.org/officeDocument/2006/relationships/image" Target="../media/image105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102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4.emf"/><Relationship Id="rId20" Type="http://schemas.openxmlformats.org/officeDocument/2006/relationships/image" Target="../media/image106.emf"/><Relationship Id="rId1" Type="http://schemas.openxmlformats.org/officeDocument/2006/relationships/drawing" Target="../drawings/drawing25.xml"/><Relationship Id="rId6" Type="http://schemas.openxmlformats.org/officeDocument/2006/relationships/image" Target="../media/image99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101.emf"/><Relationship Id="rId19" Type="http://schemas.openxmlformats.org/officeDocument/2006/relationships/control" Target="../activeX/activeX92.xml"/><Relationship Id="rId4" Type="http://schemas.openxmlformats.org/officeDocument/2006/relationships/image" Target="../media/image98.emf"/><Relationship Id="rId9" Type="http://schemas.openxmlformats.org/officeDocument/2006/relationships/control" Target="../activeX/activeX87.xml"/><Relationship Id="rId14" Type="http://schemas.openxmlformats.org/officeDocument/2006/relationships/image" Target="../media/image103.emf"/><Relationship Id="rId22" Type="http://schemas.openxmlformats.org/officeDocument/2006/relationships/image" Target="../media/image107.emf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0.emf"/><Relationship Id="rId13" Type="http://schemas.openxmlformats.org/officeDocument/2006/relationships/control" Target="../activeX/activeX99.xml"/><Relationship Id="rId18" Type="http://schemas.openxmlformats.org/officeDocument/2006/relationships/image" Target="../media/image115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12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1.vml"/><Relationship Id="rId16" Type="http://schemas.openxmlformats.org/officeDocument/2006/relationships/image" Target="../media/image114.emf"/><Relationship Id="rId20" Type="http://schemas.openxmlformats.org/officeDocument/2006/relationships/image" Target="../media/image116.emf"/><Relationship Id="rId1" Type="http://schemas.openxmlformats.org/officeDocument/2006/relationships/drawing" Target="../drawings/drawing26.xml"/><Relationship Id="rId6" Type="http://schemas.openxmlformats.org/officeDocument/2006/relationships/image" Target="../media/image109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11.emf"/><Relationship Id="rId19" Type="http://schemas.openxmlformats.org/officeDocument/2006/relationships/control" Target="../activeX/activeX102.xml"/><Relationship Id="rId4" Type="http://schemas.openxmlformats.org/officeDocument/2006/relationships/image" Target="../media/image108.emf"/><Relationship Id="rId9" Type="http://schemas.openxmlformats.org/officeDocument/2006/relationships/control" Target="../activeX/activeX97.xml"/><Relationship Id="rId14" Type="http://schemas.openxmlformats.org/officeDocument/2006/relationships/image" Target="../media/image113.emf"/><Relationship Id="rId22" Type="http://schemas.openxmlformats.org/officeDocument/2006/relationships/image" Target="../media/image117.emf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22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19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24.emf"/><Relationship Id="rId2" Type="http://schemas.openxmlformats.org/officeDocument/2006/relationships/drawing" Target="../drawings/drawing27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105.xml"/><Relationship Id="rId11" Type="http://schemas.openxmlformats.org/officeDocument/2006/relationships/image" Target="../media/image121.emf"/><Relationship Id="rId5" Type="http://schemas.openxmlformats.org/officeDocument/2006/relationships/image" Target="../media/image118.emf"/><Relationship Id="rId15" Type="http://schemas.openxmlformats.org/officeDocument/2006/relationships/image" Target="../media/image123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25.emf"/><Relationship Id="rId4" Type="http://schemas.openxmlformats.org/officeDocument/2006/relationships/control" Target="../activeX/activeX104.xml"/><Relationship Id="rId9" Type="http://schemas.openxmlformats.org/officeDocument/2006/relationships/image" Target="../media/image120.emf"/><Relationship Id="rId14" Type="http://schemas.openxmlformats.org/officeDocument/2006/relationships/control" Target="../activeX/activeX109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30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3.vml"/><Relationship Id="rId21" Type="http://schemas.openxmlformats.org/officeDocument/2006/relationships/image" Target="../media/image134.emf"/><Relationship Id="rId7" Type="http://schemas.openxmlformats.org/officeDocument/2006/relationships/image" Target="../media/image127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32.emf"/><Relationship Id="rId2" Type="http://schemas.openxmlformats.org/officeDocument/2006/relationships/drawing" Target="../drawings/drawing28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13.xml"/><Relationship Id="rId11" Type="http://schemas.openxmlformats.org/officeDocument/2006/relationships/image" Target="../media/image129.emf"/><Relationship Id="rId5" Type="http://schemas.openxmlformats.org/officeDocument/2006/relationships/image" Target="../media/image126.emf"/><Relationship Id="rId15" Type="http://schemas.openxmlformats.org/officeDocument/2006/relationships/image" Target="../media/image131.emf"/><Relationship Id="rId23" Type="http://schemas.openxmlformats.org/officeDocument/2006/relationships/image" Target="../media/image135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33.emf"/><Relationship Id="rId4" Type="http://schemas.openxmlformats.org/officeDocument/2006/relationships/control" Target="../activeX/activeX112.xml"/><Relationship Id="rId9" Type="http://schemas.openxmlformats.org/officeDocument/2006/relationships/image" Target="../media/image128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133</v>
      </c>
      <c r="F4" s="26" t="s">
        <v>133</v>
      </c>
      <c r="G4" s="26" t="s">
        <v>133</v>
      </c>
      <c r="H4" s="26" t="s">
        <v>133</v>
      </c>
      <c r="I4" s="26" t="s">
        <v>133</v>
      </c>
      <c r="J4" s="26" t="s">
        <v>133</v>
      </c>
      <c r="K4" s="26" t="s">
        <v>133</v>
      </c>
      <c r="L4" s="26" t="s">
        <v>133</v>
      </c>
    </row>
    <row r="5" spans="1:12" ht="19.5" customHeight="1" x14ac:dyDescent="0.2">
      <c r="E5" s="63"/>
      <c r="F5" s="53"/>
    </row>
    <row r="6" spans="1:12" ht="19.5" customHeight="1" x14ac:dyDescent="0.2">
      <c r="E6" s="63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RES!W2</f>
        <v>IPGMD</v>
      </c>
      <c r="C8" s="50" t="str">
        <f>RES!O3</f>
        <v>Industry - PGMs - Platinum</v>
      </c>
      <c r="D8" s="50" t="s">
        <v>117</v>
      </c>
      <c r="E8" s="303">
        <f>'PGM methodology'!G22</f>
        <v>28</v>
      </c>
      <c r="F8" s="303">
        <f>'PGM methodology'!H22</f>
        <v>28</v>
      </c>
      <c r="G8" s="303">
        <f>'PGM methodology'!I22</f>
        <v>29</v>
      </c>
      <c r="H8" s="303">
        <f>'PGM methodology'!J22</f>
        <v>32</v>
      </c>
      <c r="I8" s="303">
        <f>'PGM methodology'!K22</f>
        <v>31</v>
      </c>
      <c r="J8" s="303">
        <f>'PGM methodology'!L22</f>
        <v>31</v>
      </c>
      <c r="K8" s="303">
        <f>J8</f>
        <v>31</v>
      </c>
      <c r="L8" s="303">
        <f>K8</f>
        <v>31</v>
      </c>
    </row>
    <row r="9" spans="1:12" s="53" customFormat="1" x14ac:dyDescent="0.2">
      <c r="B9" s="50"/>
      <c r="C9" s="50"/>
      <c r="D9" s="50"/>
      <c r="E9" s="303"/>
      <c r="F9" s="303"/>
      <c r="G9" s="303"/>
      <c r="H9" s="303"/>
      <c r="I9" s="303"/>
      <c r="J9" s="303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G20"/>
  <sheetViews>
    <sheetView workbookViewId="0">
      <selection activeCell="S37" sqref="S37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7.85546875" style="12" customWidth="1"/>
    <col min="21" max="21" width="7.5703125" style="12" customWidth="1"/>
    <col min="22" max="24" width="7.85546875" style="12" customWidth="1"/>
    <col min="25" max="16384" width="9.140625" style="12"/>
  </cols>
  <sheetData>
    <row r="1" spans="1:33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  <c r="AD1" s="12" t="str">
        <f>IF(Index!$M$10,"","*")</f>
        <v>*</v>
      </c>
      <c r="AE1" s="12" t="str">
        <f>IF(Index!$M$10,"","*")</f>
        <v>*</v>
      </c>
      <c r="AF1" s="12" t="str">
        <f>IF(Index!$M$10,"","*")</f>
        <v>*</v>
      </c>
      <c r="AG1" s="12" t="str">
        <f>IF(Index!$M$10,"","*")</f>
        <v>*</v>
      </c>
    </row>
    <row r="2" spans="1:33" ht="11.25" customHeight="1" x14ac:dyDescent="0.2">
      <c r="A2" t="str">
        <f ca="1">MID(CELL("filename",A2),FIND("]",CELL("filename",A2))+1,255)</f>
        <v>ProcData_PGM</v>
      </c>
      <c r="H2" s="50"/>
      <c r="I2" s="53" t="s">
        <v>167</v>
      </c>
      <c r="J2" s="53"/>
      <c r="K2" s="53"/>
      <c r="L2" s="53"/>
      <c r="M2" s="53"/>
      <c r="N2" s="53"/>
      <c r="O2" s="53"/>
      <c r="P2" s="53"/>
      <c r="Q2" s="53"/>
    </row>
    <row r="3" spans="1:33" ht="34.5" customHeight="1" x14ac:dyDescent="0.2">
      <c r="A3" s="22"/>
      <c r="H3" s="118" t="s">
        <v>150</v>
      </c>
      <c r="I3" s="118" t="s">
        <v>146</v>
      </c>
      <c r="J3" s="118" t="s">
        <v>146</v>
      </c>
      <c r="K3" s="118" t="s">
        <v>146</v>
      </c>
      <c r="L3" s="118" t="s">
        <v>158</v>
      </c>
      <c r="M3" s="118" t="s">
        <v>158</v>
      </c>
      <c r="N3" s="118"/>
      <c r="O3" s="118"/>
      <c r="P3" s="118"/>
      <c r="Q3" s="118"/>
      <c r="R3" s="118" t="s">
        <v>149</v>
      </c>
      <c r="S3" s="12" t="s">
        <v>147</v>
      </c>
      <c r="T3" s="12" t="s">
        <v>148</v>
      </c>
    </row>
    <row r="4" spans="1:33" ht="21.75" customHeight="1" x14ac:dyDescent="0.2">
      <c r="A4" s="22"/>
      <c r="E4" s="46"/>
      <c r="F4" s="46"/>
      <c r="G4" s="46"/>
      <c r="H4" s="62" t="s">
        <v>125</v>
      </c>
      <c r="I4" s="62" t="s">
        <v>151</v>
      </c>
      <c r="J4" s="62" t="s">
        <v>151</v>
      </c>
      <c r="K4" s="62" t="s">
        <v>151</v>
      </c>
      <c r="L4" s="116" t="s">
        <v>159</v>
      </c>
      <c r="M4" s="116" t="s">
        <v>159</v>
      </c>
      <c r="N4" s="116" t="s">
        <v>528</v>
      </c>
      <c r="O4" s="116" t="s">
        <v>540</v>
      </c>
      <c r="P4" s="116" t="s">
        <v>541</v>
      </c>
      <c r="Q4" s="116" t="s">
        <v>542</v>
      </c>
      <c r="R4" s="62" t="s">
        <v>124</v>
      </c>
      <c r="S4" s="26" t="s">
        <v>132</v>
      </c>
      <c r="T4" s="116" t="s">
        <v>145</v>
      </c>
      <c r="U4" s="116" t="s">
        <v>145</v>
      </c>
      <c r="V4" s="116" t="s">
        <v>145</v>
      </c>
      <c r="W4" s="116" t="s">
        <v>145</v>
      </c>
      <c r="X4" s="116" t="s">
        <v>145</v>
      </c>
      <c r="Y4" s="116" t="s">
        <v>145</v>
      </c>
      <c r="Z4" s="12" t="str">
        <f>T4</f>
        <v>PRC_ACTFLO</v>
      </c>
      <c r="AA4" s="12" t="str">
        <f t="shared" ref="AA4:AA5" si="0">U4</f>
        <v>PRC_ACTFLO</v>
      </c>
      <c r="AB4" s="12" t="str">
        <f t="shared" ref="AB4:AB5" si="1">V4</f>
        <v>PRC_ACTFLO</v>
      </c>
      <c r="AC4" s="12" t="str">
        <f t="shared" ref="AC4:AC5" si="2">W4</f>
        <v>PRC_ACTFLO</v>
      </c>
      <c r="AD4" s="12" t="str">
        <f t="shared" ref="AD4:AG5" si="3">Z4</f>
        <v>PRC_ACTFLO</v>
      </c>
      <c r="AE4" s="12" t="str">
        <f t="shared" si="3"/>
        <v>PRC_ACTFLO</v>
      </c>
      <c r="AF4" s="12" t="str">
        <f t="shared" si="3"/>
        <v>PRC_ACTFLO</v>
      </c>
      <c r="AG4" s="12" t="str">
        <f t="shared" si="3"/>
        <v>PRC_ACTFLO</v>
      </c>
    </row>
    <row r="5" spans="1:33" ht="16.5" customHeight="1" x14ac:dyDescent="0.2">
      <c r="A5" s="22"/>
      <c r="H5" s="62" t="s">
        <v>27</v>
      </c>
      <c r="I5" s="62"/>
      <c r="J5" s="62"/>
      <c r="K5" s="62"/>
      <c r="L5" s="62"/>
      <c r="M5" s="62"/>
      <c r="N5" s="62"/>
      <c r="O5" s="62"/>
      <c r="P5" s="62"/>
      <c r="Q5" s="62"/>
      <c r="R5" s="57"/>
      <c r="S5" s="26" t="str">
        <f>F13</f>
        <v>IPGM</v>
      </c>
      <c r="T5" s="12" t="str">
        <f>E9</f>
        <v>INDCOA</v>
      </c>
      <c r="U5" s="12" t="str">
        <f>E10</f>
        <v>INFELC</v>
      </c>
      <c r="V5" s="12" t="str">
        <f>E11</f>
        <v>INDODS</v>
      </c>
      <c r="W5" s="12" t="str">
        <f>E12</f>
        <v>INFGAS</v>
      </c>
      <c r="X5" s="12" t="str">
        <f>S5</f>
        <v>IPGM</v>
      </c>
      <c r="Y5" s="12" t="str">
        <f>F14</f>
        <v>IPGMOP</v>
      </c>
      <c r="Z5" s="12" t="str">
        <f t="shared" ref="Z5" si="4">T5</f>
        <v>INDCOA</v>
      </c>
      <c r="AA5" s="12" t="str">
        <f t="shared" si="0"/>
        <v>INFELC</v>
      </c>
      <c r="AB5" s="12" t="str">
        <f t="shared" si="1"/>
        <v>INDODS</v>
      </c>
      <c r="AC5" s="12" t="str">
        <f t="shared" si="2"/>
        <v>INFGAS</v>
      </c>
      <c r="AD5" s="12" t="str">
        <f t="shared" si="3"/>
        <v>INDCOA</v>
      </c>
      <c r="AE5" s="12" t="str">
        <f t="shared" si="3"/>
        <v>INFELC</v>
      </c>
      <c r="AF5" s="12" t="str">
        <f t="shared" si="3"/>
        <v>INDODS</v>
      </c>
      <c r="AG5" s="12" t="str">
        <f t="shared" si="3"/>
        <v>INFGAS</v>
      </c>
    </row>
    <row r="6" spans="1:33" ht="17.25" customHeight="1" x14ac:dyDescent="0.2">
      <c r="A6" s="22"/>
      <c r="H6" s="62" t="s">
        <v>126</v>
      </c>
      <c r="I6" s="62"/>
      <c r="J6" s="62"/>
      <c r="K6" s="62"/>
      <c r="R6" s="57"/>
    </row>
    <row r="7" spans="1:33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49">
        <v>2012</v>
      </c>
      <c r="J7" s="49">
        <v>2030</v>
      </c>
      <c r="K7" s="49">
        <v>2050</v>
      </c>
      <c r="L7" s="49"/>
      <c r="M7" s="49">
        <v>0</v>
      </c>
      <c r="N7" s="49" t="s">
        <v>44</v>
      </c>
      <c r="O7" s="49"/>
      <c r="P7" s="49"/>
      <c r="Q7" s="49"/>
      <c r="R7" s="61" t="s">
        <v>44</v>
      </c>
      <c r="S7" s="61" t="s">
        <v>44</v>
      </c>
      <c r="T7" s="12">
        <v>2012</v>
      </c>
      <c r="U7" s="12">
        <v>2012</v>
      </c>
      <c r="V7" s="12">
        <v>2012</v>
      </c>
      <c r="W7" s="12">
        <v>2012</v>
      </c>
      <c r="X7" s="12">
        <v>2012</v>
      </c>
      <c r="Y7" s="12">
        <v>2012</v>
      </c>
      <c r="Z7" s="12">
        <v>2017</v>
      </c>
      <c r="AA7" s="12">
        <v>2017</v>
      </c>
      <c r="AB7" s="12">
        <v>2017</v>
      </c>
      <c r="AC7" s="12">
        <v>2017</v>
      </c>
      <c r="AD7" s="12">
        <v>2030</v>
      </c>
      <c r="AE7" s="12">
        <v>2030</v>
      </c>
      <c r="AF7" s="12">
        <v>2030</v>
      </c>
      <c r="AG7" s="12">
        <v>2030</v>
      </c>
    </row>
    <row r="8" spans="1:33" ht="11.25" customHeight="1" x14ac:dyDescent="0.2">
      <c r="A8" s="58" t="str">
        <f>Processes_BASE!A8</f>
        <v>* Conversion technologies</v>
      </c>
      <c r="B8" s="50"/>
      <c r="E8" s="125"/>
      <c r="F8" s="124"/>
      <c r="H8" s="119"/>
      <c r="I8" s="119"/>
      <c r="J8" s="119"/>
      <c r="K8" s="119"/>
      <c r="L8" s="119"/>
      <c r="M8" s="119"/>
      <c r="N8" s="119"/>
      <c r="O8" s="119"/>
      <c r="P8" s="119"/>
      <c r="Q8" s="119"/>
    </row>
    <row r="9" spans="1:33" s="45" customFormat="1" ht="11.25" customHeight="1" x14ac:dyDescent="0.2">
      <c r="A9" s="12"/>
      <c r="B9" s="50" t="str">
        <f>Processes_BASE!B9</f>
        <v>IPGMME-E</v>
      </c>
      <c r="C9" s="50" t="str">
        <f>Processes_BASE!C9</f>
        <v>Industry - PGMs - Mine and refine - existing</v>
      </c>
      <c r="D9" s="50" t="str">
        <f>Processes_BASE!D9</f>
        <v>PJ,PJa</v>
      </c>
      <c r="E9" s="125" t="str">
        <f>RES!D2</f>
        <v>INDCOA</v>
      </c>
      <c r="F9" s="125"/>
      <c r="H9" s="119"/>
      <c r="M9" s="119"/>
      <c r="N9" s="119"/>
      <c r="O9" s="119"/>
      <c r="P9" s="119"/>
      <c r="Q9" s="119"/>
      <c r="T9" s="120">
        <f>EB_Exist!K10/EB_Exist!F4</f>
        <v>1.5184024154038968E-2</v>
      </c>
      <c r="U9" s="12"/>
      <c r="Z9" s="120">
        <f>T9</f>
        <v>1.5184024154038968E-2</v>
      </c>
      <c r="AD9" s="120">
        <f>EB_Exist!G20/EB_Exist!G28</f>
        <v>1.5184024154038968E-2</v>
      </c>
      <c r="AE9" s="12"/>
    </row>
    <row r="10" spans="1:33" s="45" customFormat="1" ht="11.25" customHeight="1" x14ac:dyDescent="0.2">
      <c r="A10" s="12"/>
      <c r="E10" s="125" t="str">
        <f>RES!E2</f>
        <v>INFELC</v>
      </c>
      <c r="F10" s="125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U10" s="45">
        <f>EB_Exist!K11/EB_Exist!F4</f>
        <v>0.15114499937673032</v>
      </c>
      <c r="AA10" s="120">
        <f>U10</f>
        <v>0.15114499937673032</v>
      </c>
      <c r="AE10" s="45">
        <f>EB_Exist!G21/EB_Exist!G28</f>
        <v>0.14441687784826079</v>
      </c>
    </row>
    <row r="11" spans="1:33" s="45" customFormat="1" ht="11.25" customHeight="1" x14ac:dyDescent="0.2">
      <c r="A11" s="12"/>
      <c r="E11" s="124" t="str">
        <f>RES!F2</f>
        <v>INDODS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V11" s="45">
        <f>EB_Exist!K12/EB_Exist!F4</f>
        <v>1.740249605672875E-2</v>
      </c>
      <c r="AB11" s="120">
        <f>V11</f>
        <v>1.740249605672875E-2</v>
      </c>
      <c r="AF11" s="45">
        <f>EB_Exist!G23/EB_Exist!G28</f>
        <v>1.740249605672875E-2</v>
      </c>
    </row>
    <row r="12" spans="1:33" s="45" customFormat="1" ht="11.25" customHeight="1" x14ac:dyDescent="0.2">
      <c r="A12" s="12"/>
      <c r="E12" s="124" t="str">
        <f>RES!G2</f>
        <v>INFGAS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W12" s="45">
        <f>EB_Exist!K13/EB_Exist!F4</f>
        <v>1.0221036009077367E-3</v>
      </c>
      <c r="AC12" s="120">
        <f>W12</f>
        <v>1.0221036009077367E-3</v>
      </c>
      <c r="AG12" s="45">
        <f>EB_Exist!G22/EB_Exist!G28</f>
        <v>1.0221036009077367E-3</v>
      </c>
    </row>
    <row r="13" spans="1:33" s="45" customFormat="1" ht="11.25" customHeight="1" x14ac:dyDescent="0.2">
      <c r="A13" s="12"/>
      <c r="B13" s="12"/>
      <c r="C13" s="12"/>
      <c r="D13" s="12"/>
      <c r="E13" s="125"/>
      <c r="F13" s="124" t="str">
        <f>RES!O2</f>
        <v>IPGM</v>
      </c>
      <c r="H13" s="119"/>
      <c r="I13" s="119">
        <f>EB_Exist!F4/0.9</f>
        <v>288.88888888888886</v>
      </c>
      <c r="J13" s="119">
        <f>I13</f>
        <v>288.88888888888886</v>
      </c>
      <c r="K13" s="119">
        <f>J13</f>
        <v>288.88888888888886</v>
      </c>
      <c r="L13" s="119">
        <f>I13</f>
        <v>288.88888888888886</v>
      </c>
      <c r="M13" s="126">
        <v>3</v>
      </c>
      <c r="N13" s="126"/>
      <c r="O13" s="126"/>
      <c r="P13" s="126"/>
      <c r="Q13" s="126"/>
      <c r="R13" s="12">
        <v>1</v>
      </c>
      <c r="S13" s="45">
        <v>1</v>
      </c>
      <c r="X13" s="120">
        <f>'PGM methodology'!F8</f>
        <v>0.60117922803668555</v>
      </c>
      <c r="Y13" s="120"/>
    </row>
    <row r="14" spans="1:33" s="45" customFormat="1" ht="11.25" customHeight="1" x14ac:dyDescent="0.2">
      <c r="A14" s="12"/>
      <c r="B14" s="12"/>
      <c r="C14" s="12"/>
      <c r="D14" s="12"/>
      <c r="E14" s="125"/>
      <c r="F14" s="124" t="str">
        <f>RES!P2</f>
        <v>IPGMOP</v>
      </c>
      <c r="H14" s="119"/>
      <c r="I14" s="119"/>
      <c r="J14" s="119"/>
      <c r="K14" s="119"/>
      <c r="L14" s="119"/>
      <c r="M14" s="126"/>
      <c r="N14" s="126"/>
      <c r="O14" s="126"/>
      <c r="P14" s="126"/>
      <c r="Q14" s="126"/>
      <c r="R14" s="12"/>
      <c r="X14" s="120"/>
      <c r="Y14" s="120">
        <f>'PGM methodology'!F9</f>
        <v>0.39882077196331445</v>
      </c>
    </row>
    <row r="15" spans="1:33" s="45" customFormat="1" ht="11.25" customHeight="1" x14ac:dyDescent="0.2">
      <c r="A15" s="12"/>
      <c r="B15" s="12" t="str">
        <f>RES!M15</f>
        <v>IPGMME-N</v>
      </c>
      <c r="C15" s="12" t="str">
        <f>RES!M12</f>
        <v>Industry - PGMs - Mine and refine - New</v>
      </c>
      <c r="D15" s="12" t="str">
        <f>Processes_BASE!D10</f>
        <v>PJ,PJa</v>
      </c>
      <c r="E15" s="12" t="str">
        <f>RES!D2</f>
        <v>INDCOA</v>
      </c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19">
        <f>T9*101%</f>
        <v>1.5335864395579359E-2</v>
      </c>
      <c r="U15" s="12"/>
      <c r="V15" s="12"/>
      <c r="W15" s="12"/>
      <c r="X15" s="120"/>
      <c r="Y15" s="120"/>
      <c r="Z15" s="120">
        <f>T15</f>
        <v>1.5335864395579359E-2</v>
      </c>
    </row>
    <row r="16" spans="1:33" s="45" customFormat="1" ht="11.25" customHeight="1" x14ac:dyDescent="0.2">
      <c r="A16" s="12"/>
      <c r="B16" s="12"/>
      <c r="C16" s="12"/>
      <c r="D16" s="12"/>
      <c r="E16" s="12" t="str">
        <f>RES!E2</f>
        <v>INFELC</v>
      </c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19">
        <f>U10*101%</f>
        <v>0.15265644937049763</v>
      </c>
      <c r="V16" s="12"/>
      <c r="W16" s="12"/>
      <c r="X16" s="120"/>
      <c r="Y16" s="120"/>
      <c r="AA16" s="120">
        <f>U16</f>
        <v>0.15265644937049763</v>
      </c>
    </row>
    <row r="17" spans="1:29" s="45" customFormat="1" ht="11.25" customHeight="1" x14ac:dyDescent="0.2">
      <c r="A17" s="12"/>
      <c r="B17" s="12"/>
      <c r="C17" s="12"/>
      <c r="D17" s="12"/>
      <c r="E17" s="12" t="str">
        <f>RES!F2</f>
        <v>INDODS</v>
      </c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19">
        <f>V11*101%</f>
        <v>1.7576521017296037E-2</v>
      </c>
      <c r="W17" s="12"/>
      <c r="X17" s="120"/>
      <c r="Y17" s="120"/>
      <c r="AB17" s="120">
        <f>V17</f>
        <v>1.7576521017296037E-2</v>
      </c>
    </row>
    <row r="18" spans="1:29" s="45" customFormat="1" ht="11.25" customHeight="1" x14ac:dyDescent="0.2">
      <c r="A18" s="12"/>
      <c r="B18" s="12"/>
      <c r="C18" s="12"/>
      <c r="D18" s="12"/>
      <c r="E18" s="12" t="str">
        <f>RES!G2</f>
        <v>INFGAS</v>
      </c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9">
        <f>W12*101%</f>
        <v>1.032324636916814E-3</v>
      </c>
      <c r="X18" s="120"/>
      <c r="Y18" s="120"/>
      <c r="AC18" s="120">
        <f>W18</f>
        <v>1.032324636916814E-3</v>
      </c>
    </row>
    <row r="19" spans="1:29" ht="11.25" customHeight="1" x14ac:dyDescent="0.2">
      <c r="F19" s="12" t="str">
        <f>RES!O2</f>
        <v>IPGM</v>
      </c>
      <c r="I19" s="12">
        <v>0</v>
      </c>
      <c r="N19" s="12">
        <v>2025</v>
      </c>
      <c r="O19" s="12">
        <f>'PGM methodology'!L85</f>
        <v>1159.5845779193976</v>
      </c>
      <c r="P19" s="12">
        <f>'PGM methodology'!L84</f>
        <v>214.83825141995794</v>
      </c>
      <c r="Q19" s="12">
        <f>'PGM methodology'!L86</f>
        <v>45</v>
      </c>
      <c r="R19" s="12">
        <v>1</v>
      </c>
      <c r="S19" s="12">
        <v>1</v>
      </c>
      <c r="X19" s="119">
        <f>X13</f>
        <v>0.60117922803668555</v>
      </c>
      <c r="Y19" s="119"/>
    </row>
    <row r="20" spans="1:29" ht="11.25" customHeight="1" x14ac:dyDescent="0.2">
      <c r="F20" s="12" t="str">
        <f>RES!P2</f>
        <v>IPGMOP</v>
      </c>
      <c r="X20" s="119"/>
      <c r="Y20" s="119">
        <f>Y14</f>
        <v>0.39882077196331445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703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4" name="cmdAddParamQualifier2"/>
      </mc:Fallback>
    </mc:AlternateContent>
    <mc:AlternateContent xmlns:mc="http://schemas.openxmlformats.org/markup-compatibility/2006">
      <mc:Choice Requires="x14">
        <control shapeId="157702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6" name="cmdCheckTechDataSheet"/>
      </mc:Fallback>
    </mc:AlternateContent>
    <mc:AlternateContent xmlns:mc="http://schemas.openxmlformats.org/markup-compatibility/2006">
      <mc:Choice Requires="x14">
        <control shapeId="157701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8" name="cmdAddParamQualifier1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6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12" name="cmdCommOUT"/>
      </mc:Fallback>
    </mc:AlternateContent>
    <mc:AlternateContent xmlns:mc="http://schemas.openxmlformats.org/markup-compatibility/2006">
      <mc:Choice Requires="x14">
        <control shapeId="1576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14" name="cmdCommIN"/>
      </mc:Fallback>
    </mc:AlternateContent>
    <mc:AlternateContent xmlns:mc="http://schemas.openxmlformats.org/markup-compatibility/2006">
      <mc:Choice Requires="x14">
        <control shapeId="1576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16" name="cmdTechNameAndDesc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9"/>
  <sheetViews>
    <sheetView workbookViewId="0"/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ht="15" x14ac:dyDescent="0.25">
      <c r="A9" s="50"/>
      <c r="B9" s="50" t="str">
        <f>EB_Exist!C4</f>
        <v>IPGMME-E</v>
      </c>
      <c r="C9" s="50" t="str">
        <f>EB_Exist!D4</f>
        <v>Industry - PGMs - Mine and refine - existing</v>
      </c>
      <c r="D9" s="29" t="s">
        <v>123</v>
      </c>
      <c r="E9" s="330" t="s">
        <v>578</v>
      </c>
    </row>
    <row r="10" spans="1:6" s="53" customFormat="1" ht="15" x14ac:dyDescent="0.25">
      <c r="A10" s="50"/>
      <c r="B10" s="50" t="str">
        <f>RES!M15</f>
        <v>IPGMME-N</v>
      </c>
      <c r="C10" s="50" t="str">
        <f>RES!M12</f>
        <v>Industry - PGMs - Mine and refine - New</v>
      </c>
      <c r="D10" s="29" t="s">
        <v>123</v>
      </c>
      <c r="E10" s="330" t="s">
        <v>578</v>
      </c>
    </row>
    <row r="11" spans="1:6" s="53" customFormat="1" ht="12" x14ac:dyDescent="0.2">
      <c r="A11" s="59"/>
      <c r="B11" s="50" t="str">
        <f>RES!T9</f>
        <v>XIPGM</v>
      </c>
      <c r="C11" s="50" t="str">
        <f>RES!T7</f>
        <v>To local demand</v>
      </c>
      <c r="D11" s="29" t="s">
        <v>123</v>
      </c>
      <c r="E11" s="31" t="s">
        <v>134</v>
      </c>
    </row>
    <row r="12" spans="1:6" s="53" customFormat="1" ht="12.75" x14ac:dyDescent="0.2">
      <c r="A12" s="59"/>
      <c r="B12" s="59" t="str">
        <f>RES!T15</f>
        <v>PEXPGM</v>
      </c>
      <c r="C12" s="59" t="str">
        <f>RES!T13</f>
        <v>Export PGMs - Pt</v>
      </c>
      <c r="D12" t="s">
        <v>123</v>
      </c>
      <c r="E12" s="333" t="s">
        <v>578</v>
      </c>
    </row>
    <row r="13" spans="1:6" s="53" customFormat="1" ht="12.75" x14ac:dyDescent="0.2">
      <c r="A13" s="59"/>
      <c r="B13" s="50" t="str">
        <f>RES!T20</f>
        <v>PEXPGMO</v>
      </c>
      <c r="C13" s="50" t="str">
        <f>RES!T18</f>
        <v>Export PGMs - Others</v>
      </c>
      <c r="D13" t="s">
        <v>123</v>
      </c>
      <c r="E13" s="333" t="s">
        <v>578</v>
      </c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9"/>
      <c r="C18" s="59"/>
      <c r="D18" s="12"/>
      <c r="E18" s="12"/>
    </row>
    <row r="19" spans="1:10" s="53" customFormat="1" ht="12" x14ac:dyDescent="0.2">
      <c r="A19" s="59"/>
      <c r="B19" s="50"/>
      <c r="C19" s="50"/>
      <c r="D19" s="29"/>
      <c r="E19" s="29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.75" x14ac:dyDescent="0.2">
      <c r="A23" s="59"/>
      <c r="B23" s="18"/>
      <c r="C23" s="18"/>
      <c r="D23" s="18"/>
      <c r="E23" s="18"/>
      <c r="G23" s="52"/>
      <c r="H23" s="52"/>
      <c r="I23" s="19"/>
      <c r="J23" s="19"/>
    </row>
    <row r="24" spans="1:10" s="53" customFormat="1" x14ac:dyDescent="0.2">
      <c r="A24" s="60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19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ht="12" customHeight="1" x14ac:dyDescent="0.2">
      <c r="A29" s="60"/>
      <c r="B29" s="22"/>
      <c r="C29" s="22"/>
      <c r="D29" s="29"/>
      <c r="E29" s="29"/>
      <c r="G29" s="51"/>
      <c r="H29" s="51"/>
      <c r="I29" s="19"/>
      <c r="J29" s="19"/>
    </row>
    <row r="30" spans="1:10" s="53" customFormat="1" x14ac:dyDescent="0.2">
      <c r="A30" s="60"/>
      <c r="B30" s="22"/>
      <c r="C30" s="22"/>
      <c r="D30" s="29"/>
      <c r="E30" s="29"/>
    </row>
    <row r="31" spans="1:10" s="53" customFormat="1" x14ac:dyDescent="0.2">
      <c r="A31" s="60"/>
      <c r="B31" s="22"/>
      <c r="C31" s="22"/>
      <c r="D31" s="29"/>
      <c r="E31" s="29"/>
      <c r="F31" s="56"/>
      <c r="G31" s="48"/>
      <c r="H31" s="48"/>
      <c r="I31" s="29"/>
      <c r="J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ht="11.45" customHeight="1" x14ac:dyDescent="0.2">
      <c r="A34" s="60"/>
      <c r="B34" s="22"/>
      <c r="C34" s="22"/>
      <c r="D34" s="29"/>
      <c r="E34" s="29"/>
      <c r="F34" s="19"/>
      <c r="G34" s="18"/>
      <c r="H34" s="18"/>
      <c r="I34" s="18"/>
      <c r="J34" s="18"/>
    </row>
    <row r="35" spans="1:10" s="53" customFormat="1" x14ac:dyDescent="0.2">
      <c r="A35" s="60"/>
      <c r="B35" s="22"/>
      <c r="C35" s="22"/>
      <c r="D35" s="29"/>
      <c r="E35" s="29"/>
    </row>
    <row r="36" spans="1:10" s="53" customFormat="1" x14ac:dyDescent="0.2">
      <c r="A36" s="60"/>
      <c r="B36" s="22"/>
      <c r="C36" s="22"/>
      <c r="D36" s="29"/>
      <c r="E36" s="29"/>
      <c r="F36" s="19"/>
      <c r="G36" s="48"/>
      <c r="H36" s="48"/>
      <c r="I36" s="29"/>
      <c r="J36" s="29"/>
    </row>
    <row r="37" spans="1:10" s="53" customFormat="1" x14ac:dyDescent="0.2">
      <c r="A37" s="60"/>
      <c r="B37" s="22"/>
      <c r="C37" s="22"/>
      <c r="D37" s="29"/>
      <c r="E37" s="29"/>
      <c r="F37" s="56"/>
      <c r="G37" s="48"/>
      <c r="H37" s="48"/>
      <c r="I37" s="29"/>
      <c r="J37" s="29"/>
    </row>
    <row r="38" spans="1:10" x14ac:dyDescent="0.2">
      <c r="A38" s="60"/>
      <c r="B38" s="22"/>
      <c r="C38" s="22"/>
      <c r="D38" s="29"/>
      <c r="E38" s="29"/>
    </row>
    <row r="39" spans="1:10" x14ac:dyDescent="0.2">
      <c r="A39" s="60"/>
      <c r="B39" s="22"/>
      <c r="C39" s="22"/>
      <c r="D39" s="29"/>
      <c r="E39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U12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8" width="9.140625" style="12"/>
    <col min="19" max="19" width="13.140625" style="12" customWidth="1"/>
    <col min="20" max="16384" width="9.140625" style="12"/>
  </cols>
  <sheetData>
    <row r="1" spans="1:21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1" ht="11.25" customHeight="1" x14ac:dyDescent="0.2">
      <c r="A2" t="str">
        <f ca="1">MID(CELL("filename",A2),FIND("]",CELL("filename",A2))+1,255)</f>
        <v>ProcData_PGMexports</v>
      </c>
      <c r="H2" s="50"/>
    </row>
    <row r="3" spans="1:21" ht="34.5" customHeight="1" x14ac:dyDescent="0.2">
      <c r="A3" s="22"/>
      <c r="H3" s="118" t="s">
        <v>150</v>
      </c>
      <c r="I3" s="118" t="s">
        <v>149</v>
      </c>
      <c r="J3" s="12" t="s">
        <v>147</v>
      </c>
    </row>
    <row r="4" spans="1:21" ht="21.75" customHeight="1" x14ac:dyDescent="0.2">
      <c r="A4" s="22"/>
      <c r="E4" s="46"/>
      <c r="F4" s="46"/>
      <c r="G4" s="46"/>
      <c r="H4" s="62" t="s">
        <v>125</v>
      </c>
      <c r="I4" s="62" t="s">
        <v>124</v>
      </c>
      <c r="J4" s="26" t="s">
        <v>132</v>
      </c>
      <c r="K4" s="26" t="s">
        <v>132</v>
      </c>
      <c r="L4" s="332" t="s">
        <v>579</v>
      </c>
      <c r="M4" s="332" t="s">
        <v>579</v>
      </c>
      <c r="N4" s="332" t="s">
        <v>579</v>
      </c>
      <c r="O4" s="332" t="s">
        <v>579</v>
      </c>
      <c r="P4" s="332" t="s">
        <v>579</v>
      </c>
      <c r="Q4" s="332" t="s">
        <v>579</v>
      </c>
      <c r="R4" s="332" t="s">
        <v>579</v>
      </c>
      <c r="S4" s="332" t="s">
        <v>580</v>
      </c>
      <c r="T4" s="332" t="s">
        <v>580</v>
      </c>
      <c r="U4" s="332" t="s">
        <v>580</v>
      </c>
    </row>
    <row r="5" spans="1:21" ht="16.5" customHeight="1" x14ac:dyDescent="0.2">
      <c r="A5" s="22"/>
      <c r="H5" s="62" t="s">
        <v>27</v>
      </c>
      <c r="I5" s="57"/>
      <c r="J5" s="26" t="str">
        <f>E9</f>
        <v>IPGM</v>
      </c>
      <c r="K5" s="26" t="str">
        <f>E12</f>
        <v>IPGMOP</v>
      </c>
      <c r="L5" s="332" t="s">
        <v>126</v>
      </c>
      <c r="M5" s="332" t="s">
        <v>126</v>
      </c>
      <c r="N5" s="332" t="s">
        <v>126</v>
      </c>
      <c r="O5" s="332" t="s">
        <v>126</v>
      </c>
      <c r="P5" s="332" t="s">
        <v>126</v>
      </c>
      <c r="Q5" s="332" t="s">
        <v>126</v>
      </c>
      <c r="R5" s="332" t="s">
        <v>126</v>
      </c>
      <c r="S5" s="332" t="s">
        <v>126</v>
      </c>
      <c r="T5" s="332" t="s">
        <v>126</v>
      </c>
      <c r="U5" s="332" t="s">
        <v>126</v>
      </c>
    </row>
    <row r="6" spans="1:21" ht="17.25" customHeight="1" x14ac:dyDescent="0.2">
      <c r="A6" s="22"/>
      <c r="H6" s="62" t="s">
        <v>126</v>
      </c>
      <c r="I6" s="57"/>
    </row>
    <row r="7" spans="1:21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61" t="s">
        <v>44</v>
      </c>
      <c r="J7" s="61" t="s">
        <v>44</v>
      </c>
      <c r="K7" s="61" t="s">
        <v>44</v>
      </c>
      <c r="L7" s="61">
        <v>0</v>
      </c>
      <c r="M7" s="12">
        <v>2012</v>
      </c>
      <c r="N7" s="12">
        <v>2013</v>
      </c>
      <c r="O7" s="12">
        <v>2014</v>
      </c>
      <c r="P7" s="12">
        <v>2015</v>
      </c>
      <c r="Q7" s="12">
        <v>2016</v>
      </c>
      <c r="R7" s="12">
        <v>2017</v>
      </c>
      <c r="S7" s="12">
        <v>2017</v>
      </c>
      <c r="T7" s="12">
        <v>2030</v>
      </c>
      <c r="U7" s="12">
        <v>2050</v>
      </c>
    </row>
    <row r="8" spans="1:21" ht="11.25" customHeight="1" x14ac:dyDescent="0.2">
      <c r="A8" s="58" t="str">
        <f>Processes_BASE!A8</f>
        <v>* Conversion technologies</v>
      </c>
      <c r="B8" s="50"/>
      <c r="E8" s="125"/>
      <c r="F8" s="124"/>
      <c r="H8" s="119"/>
    </row>
    <row r="9" spans="1:21" ht="11.25" customHeight="1" x14ac:dyDescent="0.2">
      <c r="B9" s="12" t="str">
        <f>Processes_BASE!B11</f>
        <v>XIPGM</v>
      </c>
      <c r="C9" s="12" t="str">
        <f>Processes_BASE!C11</f>
        <v>To local demand</v>
      </c>
      <c r="D9" s="12" t="str">
        <f>Processes_BASE!D11</f>
        <v>PJ,PJa</v>
      </c>
      <c r="E9" s="12" t="str">
        <f>RES!O2</f>
        <v>IPGM</v>
      </c>
    </row>
    <row r="10" spans="1:21" ht="11.25" customHeight="1" x14ac:dyDescent="0.2">
      <c r="F10" s="12" t="str">
        <f>RES!W2</f>
        <v>IPGMD</v>
      </c>
      <c r="H10" s="12">
        <v>1</v>
      </c>
      <c r="I10" s="12">
        <v>1</v>
      </c>
      <c r="J10" s="12">
        <v>1</v>
      </c>
    </row>
    <row r="11" spans="1:21" ht="11.25" customHeight="1" x14ac:dyDescent="0.2">
      <c r="B11" s="12" t="str">
        <f>Processes_BASE!B12</f>
        <v>PEXPGM</v>
      </c>
      <c r="C11" s="12" t="str">
        <f>Processes_BASE!C12</f>
        <v>Export PGMs - Pt</v>
      </c>
      <c r="D11" s="12" t="str">
        <f>Processes_BASE!D12</f>
        <v>PJ,PJa</v>
      </c>
      <c r="E11" s="12" t="str">
        <f>RES!O2</f>
        <v>IPGM</v>
      </c>
      <c r="F11" s="12" t="str">
        <f>Commodities_BASE!B16</f>
        <v>IDUM</v>
      </c>
      <c r="H11" s="12">
        <v>1</v>
      </c>
      <c r="I11" s="12">
        <v>1</v>
      </c>
      <c r="J11" s="12">
        <v>1</v>
      </c>
      <c r="L11" s="12">
        <v>3</v>
      </c>
      <c r="M11" s="331">
        <f>'PGM methodology'!G23</f>
        <v>124.69952392131813</v>
      </c>
      <c r="N11" s="331">
        <f>'PGM methodology'!H23</f>
        <v>130.71131620168498</v>
      </c>
      <c r="O11" s="331">
        <f>'PGM methodology'!I23</f>
        <v>84.02169487089688</v>
      </c>
      <c r="P11" s="331">
        <f>'PGM methodology'!J23</f>
        <v>133.92546693812523</v>
      </c>
      <c r="Q11" s="331">
        <f>'PGM methodology'!K23</f>
        <v>127.71131620168498</v>
      </c>
      <c r="R11" s="331">
        <f>'PGM methodology'!L23</f>
        <v>125.30659928953824</v>
      </c>
      <c r="S11" s="331">
        <f>R11</f>
        <v>125.30659928953824</v>
      </c>
      <c r="T11" s="331">
        <f>R11</f>
        <v>125.30659928953824</v>
      </c>
      <c r="U11" s="331">
        <f>T11</f>
        <v>125.30659928953824</v>
      </c>
    </row>
    <row r="12" spans="1:21" ht="11.25" customHeight="1" x14ac:dyDescent="0.2">
      <c r="B12" s="12" t="str">
        <f>Processes_BASE!B13</f>
        <v>PEXPGMO</v>
      </c>
      <c r="C12" s="12" t="str">
        <f>Processes_BASE!C13</f>
        <v>Export PGMs - Others</v>
      </c>
      <c r="D12" s="12" t="str">
        <f>Processes_BASE!D13</f>
        <v>PJ,PJa</v>
      </c>
      <c r="E12" s="12" t="str">
        <f>RES!P2</f>
        <v>IPGMOP</v>
      </c>
      <c r="F12" s="12" t="str">
        <f>F11</f>
        <v>IDUM</v>
      </c>
      <c r="H12" s="12">
        <v>1</v>
      </c>
      <c r="I12" s="12">
        <v>1</v>
      </c>
      <c r="K12" s="12">
        <v>1</v>
      </c>
      <c r="L12" s="12">
        <v>3</v>
      </c>
      <c r="M12" s="331">
        <f>'PGM methodology'!G24</f>
        <v>101.30047607868187</v>
      </c>
      <c r="N12" s="331">
        <f>'PGM methodology'!H24</f>
        <v>105.28868379831502</v>
      </c>
      <c r="O12" s="331">
        <f>'PGM methodology'!I24</f>
        <v>74.97830512910312</v>
      </c>
      <c r="P12" s="331">
        <f>'PGM methodology'!J24</f>
        <v>110.07453306187479</v>
      </c>
      <c r="Q12" s="331">
        <f>'PGM methodology'!K24</f>
        <v>105.28868379831502</v>
      </c>
      <c r="R12" s="331">
        <f>'PGM methodology'!L24</f>
        <v>103.69340071046176</v>
      </c>
      <c r="S12" s="331">
        <f>R12</f>
        <v>103.69340071046176</v>
      </c>
      <c r="T12" s="331">
        <f>R12</f>
        <v>103.69340071046176</v>
      </c>
      <c r="U12" s="331">
        <f>T12</f>
        <v>103.69340071046176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49" r:id="rId4" name="cmdTechNameAndDesc">
          <controlPr defaultSize="0" autoLine="0" autoPict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4" name="cmdTechNameAndDesc"/>
      </mc:Fallback>
    </mc:AlternateContent>
    <mc:AlternateContent xmlns:mc="http://schemas.openxmlformats.org/markup-compatibility/2006">
      <mc:Choice Requires="x14">
        <control shapeId="206850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6" name="cmdCommIN"/>
      </mc:Fallback>
    </mc:AlternateContent>
    <mc:AlternateContent xmlns:mc="http://schemas.openxmlformats.org/markup-compatibility/2006">
      <mc:Choice Requires="x14">
        <control shapeId="206851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8" name="cmdCommOUT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3" r:id="rId12" name="cmdAddParamQualifier1">
          <controlPr defaultSize="0" autoLine="0" autoPict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12" name="cmdAddParamQualifier1"/>
      </mc:Fallback>
    </mc:AlternateContent>
    <mc:AlternateContent xmlns:mc="http://schemas.openxmlformats.org/markup-compatibility/2006">
      <mc:Choice Requires="x14">
        <control shapeId="206854" r:id="rId14" name="cmdCheckTechDataSheet">
          <controlPr defaultSize="0" autoLine="0" autoPict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14" name="cmdCheckTechDataSheet"/>
      </mc:Fallback>
    </mc:AlternateContent>
    <mc:AlternateContent xmlns:mc="http://schemas.openxmlformats.org/markup-compatibility/2006">
      <mc:Choice Requires="x14">
        <control shapeId="206855" r:id="rId16" name="cmdAddParamQualifier2">
          <controlPr defaultSize="0" autoLine="0" autoPict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16" name="cmdAddParamQualifier2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1">
    <tabColor theme="0" tint="-0.34998626667073579"/>
  </sheetPr>
  <dimension ref="A1:AA104"/>
  <sheetViews>
    <sheetView workbookViewId="0"/>
  </sheetViews>
  <sheetFormatPr defaultColWidth="8.85546875" defaultRowHeight="15" x14ac:dyDescent="0.25"/>
  <cols>
    <col min="1" max="1" width="17.42578125" style="154" customWidth="1"/>
    <col min="2" max="4" width="8.85546875" style="154"/>
    <col min="5" max="5" width="10.140625" style="154" bestFit="1" customWidth="1"/>
    <col min="6" max="6" width="11.42578125" style="154" customWidth="1"/>
    <col min="7" max="9" width="9.5703125" style="154" customWidth="1"/>
    <col min="10" max="11" width="9.5703125" style="154" bestFit="1" customWidth="1"/>
    <col min="12" max="12" width="9.28515625" style="154" bestFit="1" customWidth="1"/>
    <col min="13" max="15" width="8.85546875" style="154"/>
    <col min="16" max="16" width="11" style="154" bestFit="1" customWidth="1"/>
    <col min="17" max="17" width="15.7109375" style="154" customWidth="1"/>
    <col min="18" max="18" width="49.7109375" style="317" customWidth="1"/>
    <col min="19" max="16384" width="8.85546875" style="154"/>
  </cols>
  <sheetData>
    <row r="1" spans="1:18" x14ac:dyDescent="0.25">
      <c r="G1" s="153">
        <v>2012</v>
      </c>
      <c r="H1" s="153">
        <v>2013</v>
      </c>
      <c r="I1" s="153">
        <v>2014</v>
      </c>
      <c r="J1" s="153">
        <v>2015</v>
      </c>
      <c r="K1" s="153">
        <v>2016</v>
      </c>
      <c r="L1" s="153">
        <v>2017</v>
      </c>
      <c r="O1" s="153">
        <v>2030</v>
      </c>
      <c r="R1" s="316" t="s">
        <v>555</v>
      </c>
    </row>
    <row r="2" spans="1:18" x14ac:dyDescent="0.25">
      <c r="A2" s="153" t="s">
        <v>318</v>
      </c>
      <c r="C2" s="153"/>
      <c r="D2" s="153"/>
    </row>
    <row r="3" spans="1:18" x14ac:dyDescent="0.25">
      <c r="B3" s="273" t="s">
        <v>453</v>
      </c>
      <c r="E3" s="220"/>
    </row>
    <row r="4" spans="1:18" x14ac:dyDescent="0.25">
      <c r="D4" s="271" t="s">
        <v>452</v>
      </c>
      <c r="E4" s="220"/>
      <c r="F4" s="313" t="s">
        <v>562</v>
      </c>
      <c r="G4" s="154">
        <f>'Minerals council report 2017'!D24</f>
        <v>254</v>
      </c>
      <c r="H4" s="154">
        <f>'Minerals council report 2017'!E24</f>
        <v>264</v>
      </c>
      <c r="I4" s="154">
        <f>'Minerals council report 2017'!F24</f>
        <v>188</v>
      </c>
      <c r="J4" s="154">
        <f>'Minerals council report 2017'!G24</f>
        <v>276</v>
      </c>
      <c r="K4" s="154">
        <f>'Minerals council report 2017'!H24</f>
        <v>264</v>
      </c>
      <c r="L4" s="310">
        <f>'Minerals council report 2017'!I24</f>
        <v>260</v>
      </c>
      <c r="R4" s="314" t="s">
        <v>561</v>
      </c>
    </row>
    <row r="5" spans="1:18" x14ac:dyDescent="0.25">
      <c r="E5" s="220"/>
    </row>
    <row r="6" spans="1:18" x14ac:dyDescent="0.25">
      <c r="B6" s="273" t="s">
        <v>320</v>
      </c>
      <c r="E6" s="220"/>
    </row>
    <row r="7" spans="1:18" x14ac:dyDescent="0.25">
      <c r="F7" s="271" t="s">
        <v>450</v>
      </c>
      <c r="G7" s="271"/>
      <c r="H7" s="271"/>
      <c r="I7" s="271"/>
    </row>
    <row r="8" spans="1:18" x14ac:dyDescent="0.25">
      <c r="D8" s="154" t="s">
        <v>319</v>
      </c>
      <c r="F8" s="272">
        <f>'Mudd 2009 paper'!W65</f>
        <v>0.60117922803668555</v>
      </c>
      <c r="G8" s="272"/>
      <c r="H8" s="272"/>
      <c r="I8" s="272"/>
    </row>
    <row r="9" spans="1:18" x14ac:dyDescent="0.25">
      <c r="D9" s="154" t="s">
        <v>185</v>
      </c>
      <c r="F9" s="272">
        <f>1-F8</f>
        <v>0.39882077196331445</v>
      </c>
      <c r="G9" s="272"/>
      <c r="H9" s="272"/>
      <c r="I9" s="272"/>
    </row>
    <row r="11" spans="1:18" x14ac:dyDescent="0.25">
      <c r="B11" s="271" t="s">
        <v>454</v>
      </c>
      <c r="C11" s="271"/>
      <c r="E11" s="220"/>
      <c r="F11" s="271"/>
      <c r="G11" s="271"/>
      <c r="H11" s="271"/>
      <c r="I11" s="271"/>
    </row>
    <row r="12" spans="1:18" x14ac:dyDescent="0.25">
      <c r="C12" s="271"/>
      <c r="D12" s="271" t="s">
        <v>319</v>
      </c>
      <c r="E12" s="220"/>
      <c r="F12" s="271" t="s">
        <v>209</v>
      </c>
      <c r="G12" s="274">
        <f t="shared" ref="G12:I12" si="0">G$4*$F8</f>
        <v>152.69952392131813</v>
      </c>
      <c r="H12" s="274">
        <f t="shared" si="0"/>
        <v>158.71131620168498</v>
      </c>
      <c r="I12" s="274">
        <f t="shared" si="0"/>
        <v>113.02169487089688</v>
      </c>
      <c r="J12" s="274">
        <f t="shared" ref="J12:L13" si="1">J$4*$F8</f>
        <v>165.92546693812523</v>
      </c>
      <c r="K12" s="274">
        <f t="shared" si="1"/>
        <v>158.71131620168498</v>
      </c>
      <c r="L12" s="274">
        <f>L$4*$F8</f>
        <v>156.30659928953824</v>
      </c>
    </row>
    <row r="13" spans="1:18" x14ac:dyDescent="0.25">
      <c r="D13" s="271" t="s">
        <v>185</v>
      </c>
      <c r="F13" s="271" t="s">
        <v>209</v>
      </c>
      <c r="G13" s="274">
        <f t="shared" ref="G13:I13" si="2">G$4*$F9</f>
        <v>101.30047607868187</v>
      </c>
      <c r="H13" s="274">
        <f t="shared" si="2"/>
        <v>105.28868379831502</v>
      </c>
      <c r="I13" s="274">
        <f t="shared" si="2"/>
        <v>74.97830512910312</v>
      </c>
      <c r="J13" s="274">
        <f t="shared" si="1"/>
        <v>110.07453306187479</v>
      </c>
      <c r="K13" s="274">
        <f t="shared" si="1"/>
        <v>105.28868379831502</v>
      </c>
      <c r="L13" s="274">
        <f t="shared" si="1"/>
        <v>103.69340071046176</v>
      </c>
    </row>
    <row r="14" spans="1:18" x14ac:dyDescent="0.25">
      <c r="D14" s="271"/>
      <c r="F14" s="271"/>
      <c r="G14" s="274"/>
      <c r="H14" s="274"/>
      <c r="I14" s="274"/>
      <c r="J14" s="274"/>
      <c r="K14" s="274"/>
      <c r="L14" s="274"/>
    </row>
    <row r="15" spans="1:18" x14ac:dyDescent="0.25">
      <c r="A15" s="153" t="s">
        <v>550</v>
      </c>
      <c r="D15" s="271"/>
      <c r="F15" s="271"/>
      <c r="G15" s="274"/>
      <c r="H15" s="274"/>
      <c r="I15" s="274"/>
      <c r="J15" s="274"/>
      <c r="K15" s="274"/>
      <c r="L15" s="274"/>
    </row>
    <row r="16" spans="1:18" x14ac:dyDescent="0.25">
      <c r="B16" s="273" t="s">
        <v>453</v>
      </c>
      <c r="F16" s="271"/>
      <c r="G16" s="274"/>
      <c r="H16" s="274"/>
      <c r="I16" s="274"/>
      <c r="J16" s="274"/>
      <c r="K16" s="274"/>
      <c r="L16" s="274"/>
    </row>
    <row r="17" spans="1:25" x14ac:dyDescent="0.25">
      <c r="D17" s="313" t="s">
        <v>551</v>
      </c>
      <c r="F17" s="313" t="s">
        <v>209</v>
      </c>
      <c r="G17" s="274">
        <f>H17</f>
        <v>28</v>
      </c>
      <c r="H17" s="274">
        <f>'Minerals council report 2017'!E26</f>
        <v>28</v>
      </c>
      <c r="I17" s="274">
        <f>'Minerals council report 2017'!F26</f>
        <v>29</v>
      </c>
      <c r="J17" s="274">
        <f>'Minerals council report 2017'!G26</f>
        <v>32</v>
      </c>
      <c r="K17" s="274">
        <f>'Minerals council report 2017'!H26</f>
        <v>31</v>
      </c>
      <c r="L17" s="274">
        <f>'Minerals council report 2017'!I26</f>
        <v>31</v>
      </c>
    </row>
    <row r="18" spans="1:25" x14ac:dyDescent="0.25">
      <c r="D18" s="313" t="s">
        <v>552</v>
      </c>
      <c r="F18" s="313" t="s">
        <v>209</v>
      </c>
      <c r="H18" s="274">
        <f>'Minerals council report 2017'!E27</f>
        <v>239</v>
      </c>
      <c r="I18" s="274">
        <f>'Minerals council report 2017'!F27</f>
        <v>202</v>
      </c>
      <c r="J18" s="274">
        <f>'Minerals council report 2017'!G27</f>
        <v>254</v>
      </c>
      <c r="K18" s="274">
        <f>'Minerals council report 2017'!H27</f>
        <v>250</v>
      </c>
      <c r="L18" s="274">
        <f>'Minerals council report 2017'!I27</f>
        <v>251</v>
      </c>
    </row>
    <row r="19" spans="1:25" ht="30" x14ac:dyDescent="0.25">
      <c r="D19" s="313" t="s">
        <v>559</v>
      </c>
      <c r="F19" s="313" t="s">
        <v>209</v>
      </c>
      <c r="H19" s="274">
        <f>SUM(H17:H18)</f>
        <v>267</v>
      </c>
      <c r="I19" s="274">
        <f>SUM(I17:I18)</f>
        <v>231</v>
      </c>
      <c r="J19" s="274">
        <f>SUM(J17:J18)</f>
        <v>286</v>
      </c>
      <c r="K19" s="274">
        <f>SUM(K17:K18)</f>
        <v>281</v>
      </c>
      <c r="L19" s="274">
        <f>SUM(L17:L18)</f>
        <v>282</v>
      </c>
      <c r="R19" s="314" t="s">
        <v>560</v>
      </c>
    </row>
    <row r="20" spans="1:25" x14ac:dyDescent="0.25">
      <c r="D20" s="313"/>
      <c r="F20" s="313"/>
      <c r="H20" s="274"/>
      <c r="I20" s="274"/>
      <c r="J20" s="274"/>
      <c r="K20" s="274"/>
      <c r="L20" s="274"/>
      <c r="R20" s="314"/>
    </row>
    <row r="21" spans="1:25" x14ac:dyDescent="0.25">
      <c r="B21" s="313" t="s">
        <v>553</v>
      </c>
      <c r="D21" s="313"/>
      <c r="F21" s="313"/>
      <c r="H21" s="274"/>
      <c r="I21" s="274"/>
      <c r="J21" s="274"/>
      <c r="K21" s="274"/>
      <c r="L21" s="274"/>
    </row>
    <row r="22" spans="1:25" x14ac:dyDescent="0.25">
      <c r="D22" s="313" t="s">
        <v>554</v>
      </c>
      <c r="F22" s="313" t="s">
        <v>209</v>
      </c>
      <c r="G22" s="274">
        <f t="shared" ref="G22" si="3">G17</f>
        <v>28</v>
      </c>
      <c r="H22" s="274">
        <f t="shared" ref="H22:K22" si="4">H17</f>
        <v>28</v>
      </c>
      <c r="I22" s="274">
        <f t="shared" si="4"/>
        <v>29</v>
      </c>
      <c r="J22" s="274">
        <f t="shared" si="4"/>
        <v>32</v>
      </c>
      <c r="K22" s="274">
        <f t="shared" si="4"/>
        <v>31</v>
      </c>
      <c r="L22" s="274">
        <f t="shared" ref="L22" si="5">L17</f>
        <v>31</v>
      </c>
      <c r="R22" s="314"/>
    </row>
    <row r="23" spans="1:25" ht="30" x14ac:dyDescent="0.25">
      <c r="D23" s="313" t="s">
        <v>575</v>
      </c>
      <c r="F23" s="313" t="s">
        <v>209</v>
      </c>
      <c r="G23" s="274">
        <f t="shared" ref="G23:K23" si="6">G12-G22</f>
        <v>124.69952392131813</v>
      </c>
      <c r="H23" s="274">
        <f t="shared" si="6"/>
        <v>130.71131620168498</v>
      </c>
      <c r="I23" s="274">
        <f t="shared" si="6"/>
        <v>84.02169487089688</v>
      </c>
      <c r="J23" s="274">
        <f t="shared" si="6"/>
        <v>133.92546693812523</v>
      </c>
      <c r="K23" s="274">
        <f t="shared" si="6"/>
        <v>127.71131620168498</v>
      </c>
      <c r="L23" s="274">
        <f>L12-L22</f>
        <v>125.30659928953824</v>
      </c>
      <c r="R23" s="314" t="s">
        <v>577</v>
      </c>
    </row>
    <row r="24" spans="1:25" x14ac:dyDescent="0.25">
      <c r="D24" s="313" t="s">
        <v>576</v>
      </c>
      <c r="F24" s="313" t="s">
        <v>209</v>
      </c>
      <c r="G24" s="274">
        <f t="shared" ref="G24" si="7">G13</f>
        <v>101.30047607868187</v>
      </c>
      <c r="H24" s="274">
        <f t="shared" ref="H24:K24" si="8">H13</f>
        <v>105.28868379831502</v>
      </c>
      <c r="I24" s="274">
        <f t="shared" si="8"/>
        <v>74.97830512910312</v>
      </c>
      <c r="J24" s="274">
        <f t="shared" si="8"/>
        <v>110.07453306187479</v>
      </c>
      <c r="K24" s="274">
        <f t="shared" si="8"/>
        <v>105.28868379831502</v>
      </c>
      <c r="L24" s="274">
        <f>L13</f>
        <v>103.69340071046176</v>
      </c>
    </row>
    <row r="25" spans="1:25" x14ac:dyDescent="0.25">
      <c r="A25" s="153" t="s">
        <v>456</v>
      </c>
    </row>
    <row r="26" spans="1:25" x14ac:dyDescent="0.25">
      <c r="B26" s="273" t="s">
        <v>458</v>
      </c>
    </row>
    <row r="29" spans="1:25" x14ac:dyDescent="0.25">
      <c r="C29" s="271" t="s">
        <v>229</v>
      </c>
      <c r="D29" s="271" t="s">
        <v>178</v>
      </c>
      <c r="F29" s="320" t="s">
        <v>117</v>
      </c>
      <c r="G29" s="275">
        <f t="shared" ref="G29:L32" si="9">INDEX($V$32:$Y$35,MATCH($C29,$T$32:$T$35,0),MATCH($D29,$V$31:$Y$31,0))*G$4</f>
        <v>1.0181328244274812</v>
      </c>
      <c r="H29" s="275">
        <f t="shared" si="9"/>
        <v>1.0582167938931299</v>
      </c>
      <c r="I29" s="275">
        <f t="shared" si="9"/>
        <v>0.75357862595419867</v>
      </c>
      <c r="J29" s="275">
        <f t="shared" si="9"/>
        <v>1.1063175572519086</v>
      </c>
      <c r="K29" s="275">
        <f t="shared" si="9"/>
        <v>1.0582167938931299</v>
      </c>
      <c r="L29" s="275">
        <f t="shared" si="9"/>
        <v>1.0421832061068705</v>
      </c>
      <c r="O29" s="234">
        <f>L29*(1-Q29)</f>
        <v>0.99007404580152691</v>
      </c>
      <c r="Q29" s="154">
        <f>Index!N16</f>
        <v>0.05</v>
      </c>
      <c r="R29" s="334" t="s">
        <v>584</v>
      </c>
      <c r="S29" s="155" t="s">
        <v>329</v>
      </c>
      <c r="T29" s="156"/>
      <c r="U29" s="156"/>
      <c r="V29" s="277"/>
      <c r="W29" s="277"/>
      <c r="X29" s="277"/>
      <c r="Y29" s="278"/>
    </row>
    <row r="30" spans="1:25" x14ac:dyDescent="0.25">
      <c r="C30" s="271" t="s">
        <v>229</v>
      </c>
      <c r="D30" s="271" t="s">
        <v>180</v>
      </c>
      <c r="F30" s="320" t="s">
        <v>117</v>
      </c>
      <c r="G30" s="275">
        <f t="shared" si="9"/>
        <v>5.719847328244277E-2</v>
      </c>
      <c r="H30" s="275">
        <f t="shared" si="9"/>
        <v>5.945038167938934E-2</v>
      </c>
      <c r="I30" s="275">
        <f t="shared" si="9"/>
        <v>4.233587786259544E-2</v>
      </c>
      <c r="J30" s="275">
        <f t="shared" si="9"/>
        <v>6.2152671755725218E-2</v>
      </c>
      <c r="K30" s="275">
        <f t="shared" si="9"/>
        <v>5.945038167938934E-2</v>
      </c>
      <c r="L30" s="275">
        <f t="shared" si="9"/>
        <v>5.8549618320610709E-2</v>
      </c>
      <c r="O30" s="336">
        <f>L30</f>
        <v>5.8549618320610709E-2</v>
      </c>
      <c r="S30" s="279" t="s">
        <v>455</v>
      </c>
      <c r="T30" s="280"/>
      <c r="U30" s="280"/>
      <c r="V30" s="280"/>
      <c r="W30" s="280"/>
      <c r="X30" s="280"/>
      <c r="Y30" s="161"/>
    </row>
    <row r="31" spans="1:25" x14ac:dyDescent="0.25">
      <c r="C31" s="271" t="s">
        <v>229</v>
      </c>
      <c r="D31" s="271" t="s">
        <v>143</v>
      </c>
      <c r="F31" s="320" t="s">
        <v>117</v>
      </c>
      <c r="G31" s="275">
        <f t="shared" si="9"/>
        <v>1.9218687022900769</v>
      </c>
      <c r="H31" s="275">
        <f t="shared" si="9"/>
        <v>1.9975328244274815</v>
      </c>
      <c r="I31" s="275">
        <f t="shared" si="9"/>
        <v>1.4224854961832065</v>
      </c>
      <c r="J31" s="275">
        <f t="shared" si="9"/>
        <v>2.0883297709923672</v>
      </c>
      <c r="K31" s="275">
        <f t="shared" si="9"/>
        <v>1.9975328244274815</v>
      </c>
      <c r="L31" s="275">
        <f t="shared" si="9"/>
        <v>1.9672671755725195</v>
      </c>
      <c r="O31" s="336">
        <f>L31</f>
        <v>1.9672671755725195</v>
      </c>
      <c r="S31" s="177"/>
      <c r="T31" s="281" t="s">
        <v>330</v>
      </c>
      <c r="U31" s="280"/>
      <c r="V31" s="281" t="s">
        <v>178</v>
      </c>
      <c r="W31" s="281" t="s">
        <v>180</v>
      </c>
      <c r="X31" s="281" t="s">
        <v>143</v>
      </c>
      <c r="Y31" s="282" t="s">
        <v>179</v>
      </c>
    </row>
    <row r="32" spans="1:25" x14ac:dyDescent="0.25">
      <c r="C32" s="271" t="s">
        <v>229</v>
      </c>
      <c r="D32" s="271" t="s">
        <v>179</v>
      </c>
      <c r="F32" s="320" t="s">
        <v>117</v>
      </c>
      <c r="G32" s="275">
        <f t="shared" si="9"/>
        <v>0</v>
      </c>
      <c r="H32" s="275">
        <f t="shared" si="9"/>
        <v>0</v>
      </c>
      <c r="I32" s="275">
        <f t="shared" si="9"/>
        <v>0</v>
      </c>
      <c r="J32" s="275">
        <f t="shared" si="9"/>
        <v>0</v>
      </c>
      <c r="K32" s="275">
        <f t="shared" si="9"/>
        <v>0</v>
      </c>
      <c r="L32" s="275">
        <f t="shared" si="9"/>
        <v>0</v>
      </c>
      <c r="S32" s="177"/>
      <c r="T32" s="280" t="s">
        <v>229</v>
      </c>
      <c r="U32" s="280"/>
      <c r="V32" s="283">
        <f>'Students worksheet'!R14/'Students worksheet'!$O$3</f>
        <v>4.0083969465648864E-3</v>
      </c>
      <c r="W32" s="283">
        <f>'Students worksheet'!U14/'Students worksheet'!$O$3</f>
        <v>2.2519083969465658E-4</v>
      </c>
      <c r="X32" s="283">
        <f>'Students worksheet'!S14/'Students worksheet'!$O$3</f>
        <v>7.56641221374046E-3</v>
      </c>
      <c r="Y32" s="284">
        <f>'Students worksheet'!T14/'Students worksheet'!$O$3</f>
        <v>0</v>
      </c>
    </row>
    <row r="33" spans="3:25" x14ac:dyDescent="0.25">
      <c r="F33" s="275"/>
      <c r="G33" s="275"/>
      <c r="H33" s="275"/>
      <c r="I33" s="275"/>
      <c r="J33" s="275"/>
      <c r="K33" s="275"/>
      <c r="L33" s="275"/>
      <c r="S33" s="177"/>
      <c r="T33" s="280" t="s">
        <v>228</v>
      </c>
      <c r="U33" s="280"/>
      <c r="V33" s="283">
        <f>'Students worksheet'!R13/'Students worksheet'!$O$3</f>
        <v>2.154567164179105E-2</v>
      </c>
      <c r="W33" s="283">
        <f>'Students worksheet'!U13/'Students worksheet'!$O$3</f>
        <v>9.0149253731343303E-5</v>
      </c>
      <c r="X33" s="283">
        <f>'Students worksheet'!S13/'Students worksheet'!$O$3</f>
        <v>7.6176119402985073E-3</v>
      </c>
      <c r="Y33" s="284">
        <f>'Students worksheet'!T13/'Students worksheet'!$O$3</f>
        <v>9.465671641791046E-4</v>
      </c>
    </row>
    <row r="34" spans="3:25" x14ac:dyDescent="0.25">
      <c r="C34" s="271" t="s">
        <v>228</v>
      </c>
      <c r="D34" s="271" t="s">
        <v>178</v>
      </c>
      <c r="F34" s="320" t="s">
        <v>117</v>
      </c>
      <c r="G34" s="275">
        <f t="shared" ref="G34:L37" si="10">INDEX($V$32:$Y$35,MATCH($C34,$T$32:$T$35,0),MATCH($D34,$V$31:$Y$31,0))*G$4</f>
        <v>5.4726005970149263</v>
      </c>
      <c r="H34" s="275">
        <f t="shared" si="10"/>
        <v>5.6880573134328367</v>
      </c>
      <c r="I34" s="275">
        <f t="shared" si="10"/>
        <v>4.0505862686567173</v>
      </c>
      <c r="J34" s="275">
        <f t="shared" si="10"/>
        <v>5.9466053731343296</v>
      </c>
      <c r="K34" s="275">
        <f t="shared" si="10"/>
        <v>5.6880573134328367</v>
      </c>
      <c r="L34" s="275">
        <f t="shared" si="10"/>
        <v>5.6018746268656727</v>
      </c>
      <c r="O34" s="234">
        <f>L34*(1-Q34)</f>
        <v>5.3217808955223891</v>
      </c>
      <c r="Q34" s="154">
        <f>Q29</f>
        <v>0.05</v>
      </c>
      <c r="R34" s="334" t="s">
        <v>584</v>
      </c>
      <c r="S34" s="177"/>
      <c r="T34" s="280" t="s">
        <v>324</v>
      </c>
      <c r="U34" s="280"/>
      <c r="V34" s="283">
        <f>'Students worksheet'!R12/'Students worksheet'!$O$3</f>
        <v>4.2678086751677162E-2</v>
      </c>
      <c r="W34" s="283">
        <f>'Students worksheet'!U12/'Students worksheet'!$O$3</f>
        <v>0</v>
      </c>
      <c r="X34" s="283">
        <f>'Students worksheet'!S12/'Students worksheet'!$O$3</f>
        <v>0</v>
      </c>
      <c r="Y34" s="284">
        <f>'Students worksheet'!T12/'Students worksheet'!$O$3</f>
        <v>7.5536436728632143E-5</v>
      </c>
    </row>
    <row r="35" spans="3:25" x14ac:dyDescent="0.25">
      <c r="C35" s="271" t="s">
        <v>228</v>
      </c>
      <c r="D35" s="271" t="s">
        <v>180</v>
      </c>
      <c r="F35" s="320" t="s">
        <v>117</v>
      </c>
      <c r="G35" s="275">
        <f t="shared" si="10"/>
        <v>2.28979104477612E-2</v>
      </c>
      <c r="H35" s="275">
        <f t="shared" si="10"/>
        <v>2.379940298507463E-2</v>
      </c>
      <c r="I35" s="275">
        <f t="shared" si="10"/>
        <v>1.6948059701492543E-2</v>
      </c>
      <c r="J35" s="275">
        <f t="shared" si="10"/>
        <v>2.4881194029850753E-2</v>
      </c>
      <c r="K35" s="275">
        <f t="shared" si="10"/>
        <v>2.379940298507463E-2</v>
      </c>
      <c r="L35" s="275">
        <f t="shared" si="10"/>
        <v>2.343880597014926E-2</v>
      </c>
      <c r="O35" s="336">
        <f t="shared" ref="O35:O37" si="11">L35</f>
        <v>2.343880597014926E-2</v>
      </c>
      <c r="S35" s="177"/>
      <c r="T35" s="280" t="s">
        <v>226</v>
      </c>
      <c r="U35" s="280"/>
      <c r="V35" s="283">
        <f>'Students worksheet'!R11/'Students worksheet'!$O$3</f>
        <v>8.2912844036697256E-2</v>
      </c>
      <c r="W35" s="283">
        <f>'Students worksheet'!U11/'Students worksheet'!$O$3</f>
        <v>1.708715596330275E-2</v>
      </c>
      <c r="X35" s="283"/>
      <c r="Y35" s="284"/>
    </row>
    <row r="36" spans="3:25" x14ac:dyDescent="0.25">
      <c r="C36" s="271" t="s">
        <v>228</v>
      </c>
      <c r="D36" s="271" t="s">
        <v>143</v>
      </c>
      <c r="F36" s="320" t="s">
        <v>117</v>
      </c>
      <c r="G36" s="275">
        <f t="shared" si="10"/>
        <v>1.9348734328358208</v>
      </c>
      <c r="H36" s="275">
        <f t="shared" si="10"/>
        <v>2.0110495522388061</v>
      </c>
      <c r="I36" s="275">
        <f t="shared" si="10"/>
        <v>1.4321110447761194</v>
      </c>
      <c r="J36" s="275">
        <f t="shared" si="10"/>
        <v>2.102460895522388</v>
      </c>
      <c r="K36" s="275">
        <f t="shared" si="10"/>
        <v>2.0110495522388061</v>
      </c>
      <c r="L36" s="275">
        <f t="shared" si="10"/>
        <v>1.980579104477612</v>
      </c>
      <c r="O36" s="336">
        <f t="shared" si="11"/>
        <v>1.980579104477612</v>
      </c>
      <c r="S36" s="179"/>
      <c r="T36" s="180"/>
      <c r="U36" s="180"/>
      <c r="V36" s="180"/>
      <c r="W36" s="180"/>
      <c r="X36" s="180"/>
      <c r="Y36" s="181"/>
    </row>
    <row r="37" spans="3:25" x14ac:dyDescent="0.25">
      <c r="C37" s="271" t="s">
        <v>228</v>
      </c>
      <c r="D37" s="271" t="s">
        <v>179</v>
      </c>
      <c r="F37" s="320" t="s">
        <v>117</v>
      </c>
      <c r="G37" s="275">
        <f t="shared" si="10"/>
        <v>0.24042805970149256</v>
      </c>
      <c r="H37" s="275">
        <f t="shared" si="10"/>
        <v>0.2498937313432836</v>
      </c>
      <c r="I37" s="275">
        <f t="shared" si="10"/>
        <v>0.17795462686567168</v>
      </c>
      <c r="J37" s="275">
        <f t="shared" si="10"/>
        <v>0.2612525373134329</v>
      </c>
      <c r="K37" s="275">
        <f t="shared" si="10"/>
        <v>0.2498937313432836</v>
      </c>
      <c r="L37" s="275">
        <f t="shared" si="10"/>
        <v>0.24610746268656719</v>
      </c>
      <c r="O37" s="336">
        <f t="shared" si="11"/>
        <v>0.24610746268656719</v>
      </c>
    </row>
    <row r="38" spans="3:25" x14ac:dyDescent="0.25">
      <c r="F38" s="275"/>
      <c r="G38" s="275"/>
      <c r="H38" s="275"/>
      <c r="I38" s="275"/>
      <c r="J38" s="275"/>
      <c r="K38" s="275"/>
      <c r="L38" s="275"/>
    </row>
    <row r="39" spans="3:25" x14ac:dyDescent="0.25">
      <c r="C39" s="271" t="s">
        <v>324</v>
      </c>
      <c r="D39" s="271" t="s">
        <v>178</v>
      </c>
      <c r="F39" s="320" t="s">
        <v>117</v>
      </c>
      <c r="G39" s="275">
        <f t="shared" ref="G39:L42" si="12">INDEX($V$32:$Y$35,MATCH($C39,$T$32:$T$35,0),MATCH($D39,$V$31:$Y$31,0))*G$4</f>
        <v>10.840234034925999</v>
      </c>
      <c r="H39" s="275">
        <f t="shared" si="12"/>
        <v>11.267014902442771</v>
      </c>
      <c r="I39" s="275">
        <f t="shared" si="12"/>
        <v>8.0234803093153069</v>
      </c>
      <c r="J39" s="275">
        <f t="shared" si="12"/>
        <v>11.779151943462896</v>
      </c>
      <c r="K39" s="275">
        <f t="shared" si="12"/>
        <v>11.267014902442771</v>
      </c>
      <c r="L39" s="275">
        <f t="shared" si="12"/>
        <v>11.096302555436061</v>
      </c>
      <c r="O39" s="234">
        <f>L39*(1-Q39)</f>
        <v>10.541487427664258</v>
      </c>
      <c r="Q39" s="154">
        <f>Q34</f>
        <v>0.05</v>
      </c>
      <c r="R39" s="334" t="s">
        <v>584</v>
      </c>
    </row>
    <row r="40" spans="3:25" x14ac:dyDescent="0.25">
      <c r="C40" s="271" t="s">
        <v>324</v>
      </c>
      <c r="D40" s="271" t="s">
        <v>180</v>
      </c>
      <c r="F40" s="320" t="s">
        <v>117</v>
      </c>
      <c r="G40" s="275">
        <f t="shared" si="12"/>
        <v>0</v>
      </c>
      <c r="H40" s="275">
        <f t="shared" si="12"/>
        <v>0</v>
      </c>
      <c r="I40" s="275">
        <f t="shared" si="12"/>
        <v>0</v>
      </c>
      <c r="J40" s="275">
        <f t="shared" si="12"/>
        <v>0</v>
      </c>
      <c r="K40" s="275">
        <f t="shared" si="12"/>
        <v>0</v>
      </c>
      <c r="L40" s="275">
        <f t="shared" si="12"/>
        <v>0</v>
      </c>
      <c r="O40" s="336">
        <f t="shared" ref="O40:O42" si="13">L40</f>
        <v>0</v>
      </c>
    </row>
    <row r="41" spans="3:25" x14ac:dyDescent="0.25">
      <c r="C41" s="271" t="s">
        <v>324</v>
      </c>
      <c r="D41" s="271" t="s">
        <v>143</v>
      </c>
      <c r="F41" s="320" t="s">
        <v>117</v>
      </c>
      <c r="G41" s="275">
        <f t="shared" si="12"/>
        <v>0</v>
      </c>
      <c r="H41" s="275">
        <f t="shared" si="12"/>
        <v>0</v>
      </c>
      <c r="I41" s="275">
        <f t="shared" si="12"/>
        <v>0</v>
      </c>
      <c r="J41" s="275">
        <f t="shared" si="12"/>
        <v>0</v>
      </c>
      <c r="K41" s="275">
        <f t="shared" si="12"/>
        <v>0</v>
      </c>
      <c r="L41" s="275">
        <f t="shared" si="12"/>
        <v>0</v>
      </c>
      <c r="O41" s="336">
        <f t="shared" si="13"/>
        <v>0</v>
      </c>
    </row>
    <row r="42" spans="3:25" x14ac:dyDescent="0.25">
      <c r="C42" s="271" t="s">
        <v>324</v>
      </c>
      <c r="D42" s="271" t="s">
        <v>179</v>
      </c>
      <c r="F42" s="320" t="s">
        <v>117</v>
      </c>
      <c r="G42" s="275">
        <f t="shared" si="12"/>
        <v>1.9186254929072565E-2</v>
      </c>
      <c r="H42" s="275">
        <f t="shared" si="12"/>
        <v>1.9941619296358886E-2</v>
      </c>
      <c r="I42" s="275">
        <f t="shared" si="12"/>
        <v>1.4200850104982843E-2</v>
      </c>
      <c r="J42" s="275">
        <f t="shared" si="12"/>
        <v>2.084805653710247E-2</v>
      </c>
      <c r="K42" s="275">
        <f t="shared" si="12"/>
        <v>1.9941619296358886E-2</v>
      </c>
      <c r="L42" s="275">
        <f t="shared" si="12"/>
        <v>1.9639473549444356E-2</v>
      </c>
      <c r="O42" s="336">
        <f t="shared" si="13"/>
        <v>1.9639473549444356E-2</v>
      </c>
    </row>
    <row r="43" spans="3:25" x14ac:dyDescent="0.25">
      <c r="F43" s="275"/>
      <c r="G43" s="275"/>
      <c r="H43" s="275"/>
      <c r="I43" s="275"/>
      <c r="J43" s="275"/>
      <c r="K43" s="275"/>
      <c r="L43" s="275"/>
    </row>
    <row r="44" spans="3:25" x14ac:dyDescent="0.25">
      <c r="C44" s="271" t="s">
        <v>226</v>
      </c>
      <c r="D44" s="271" t="s">
        <v>178</v>
      </c>
      <c r="F44" s="320" t="s">
        <v>117</v>
      </c>
      <c r="G44" s="275">
        <f t="shared" ref="G44:L47" si="14">INDEX($V$32:$Y$35,MATCH($C44,$T$32:$T$35,0),MATCH($D44,$V$31:$Y$31,0))*G$4</f>
        <v>21.059862385321104</v>
      </c>
      <c r="H44" s="275">
        <f t="shared" si="14"/>
        <v>21.888990825688076</v>
      </c>
      <c r="I44" s="275">
        <f t="shared" si="14"/>
        <v>15.587614678899085</v>
      </c>
      <c r="J44" s="275">
        <f t="shared" si="14"/>
        <v>22.883944954128442</v>
      </c>
      <c r="K44" s="275">
        <f t="shared" si="14"/>
        <v>21.888990825688076</v>
      </c>
      <c r="L44" s="275">
        <f t="shared" si="14"/>
        <v>21.557339449541285</v>
      </c>
      <c r="O44" s="234">
        <f>L44*(1-Q44)</f>
        <v>20.695045871559632</v>
      </c>
      <c r="Q44" s="154">
        <f>Index!Q16</f>
        <v>0.04</v>
      </c>
      <c r="R44" s="334" t="s">
        <v>584</v>
      </c>
    </row>
    <row r="45" spans="3:25" x14ac:dyDescent="0.25">
      <c r="C45" s="271" t="s">
        <v>226</v>
      </c>
      <c r="D45" s="271" t="s">
        <v>180</v>
      </c>
      <c r="F45" s="320" t="s">
        <v>117</v>
      </c>
      <c r="G45" s="275">
        <f t="shared" si="14"/>
        <v>4.3401376146788984</v>
      </c>
      <c r="H45" s="275">
        <f t="shared" si="14"/>
        <v>4.5110091743119263</v>
      </c>
      <c r="I45" s="275">
        <f t="shared" si="14"/>
        <v>3.2123853211009168</v>
      </c>
      <c r="J45" s="275">
        <f t="shared" si="14"/>
        <v>4.7160550458715589</v>
      </c>
      <c r="K45" s="275">
        <f t="shared" si="14"/>
        <v>4.5110091743119263</v>
      </c>
      <c r="L45" s="275">
        <f t="shared" si="14"/>
        <v>4.4426605504587151</v>
      </c>
      <c r="O45" s="336">
        <f>L45</f>
        <v>4.4426605504587151</v>
      </c>
    </row>
    <row r="46" spans="3:25" x14ac:dyDescent="0.25">
      <c r="C46" s="271" t="s">
        <v>226</v>
      </c>
      <c r="D46" s="271" t="s">
        <v>143</v>
      </c>
      <c r="F46" s="320" t="s">
        <v>117</v>
      </c>
      <c r="G46" s="275">
        <f t="shared" si="14"/>
        <v>0</v>
      </c>
      <c r="H46" s="275">
        <f t="shared" si="14"/>
        <v>0</v>
      </c>
      <c r="I46" s="275">
        <f t="shared" si="14"/>
        <v>0</v>
      </c>
      <c r="J46" s="275">
        <f t="shared" si="14"/>
        <v>0</v>
      </c>
      <c r="K46" s="275">
        <f t="shared" si="14"/>
        <v>0</v>
      </c>
      <c r="L46" s="275">
        <f t="shared" si="14"/>
        <v>0</v>
      </c>
    </row>
    <row r="47" spans="3:25" x14ac:dyDescent="0.25">
      <c r="C47" s="271" t="s">
        <v>226</v>
      </c>
      <c r="D47" s="271" t="s">
        <v>179</v>
      </c>
      <c r="F47" s="320" t="s">
        <v>117</v>
      </c>
      <c r="G47" s="275">
        <f t="shared" si="14"/>
        <v>0</v>
      </c>
      <c r="H47" s="275">
        <f t="shared" si="14"/>
        <v>0</v>
      </c>
      <c r="I47" s="275">
        <f t="shared" si="14"/>
        <v>0</v>
      </c>
      <c r="J47" s="275">
        <f t="shared" si="14"/>
        <v>0</v>
      </c>
      <c r="K47" s="275">
        <f t="shared" si="14"/>
        <v>0</v>
      </c>
      <c r="L47" s="275">
        <f t="shared" si="14"/>
        <v>0</v>
      </c>
    </row>
    <row r="50" spans="3:27" x14ac:dyDescent="0.25">
      <c r="C50" s="153" t="s">
        <v>222</v>
      </c>
      <c r="D50" s="153" t="s">
        <v>178</v>
      </c>
      <c r="E50" s="153"/>
      <c r="F50" s="320" t="s">
        <v>117</v>
      </c>
      <c r="G50" s="276">
        <f t="shared" ref="G50:H50" si="15">G29+G34+G39+G44</f>
        <v>38.390829841689509</v>
      </c>
      <c r="H50" s="276">
        <f t="shared" si="15"/>
        <v>39.90227983545681</v>
      </c>
      <c r="I50" s="228">
        <f t="shared" ref="I50" si="16">I44+I39+I34+I29</f>
        <v>28.415259882825303</v>
      </c>
      <c r="J50" s="276">
        <f>J29+J34+J39+J44</f>
        <v>41.716019827977576</v>
      </c>
      <c r="K50" s="276">
        <f t="shared" ref="K50" si="17">K29+K34+K39+K44</f>
        <v>39.90227983545681</v>
      </c>
      <c r="L50" s="228">
        <f>L44+L39+L34+L29</f>
        <v>39.297699837949885</v>
      </c>
      <c r="M50" s="234"/>
      <c r="N50" s="234"/>
      <c r="O50" s="228">
        <f>O44+O39+O34+O29</f>
        <v>37.548388240547808</v>
      </c>
    </row>
    <row r="51" spans="3:27" x14ac:dyDescent="0.25">
      <c r="C51" s="153"/>
      <c r="D51" s="153" t="s">
        <v>180</v>
      </c>
      <c r="E51" s="153"/>
      <c r="F51" s="320" t="s">
        <v>117</v>
      </c>
      <c r="G51" s="276">
        <f t="shared" ref="G51:I51" si="18">G30+G35+G40+G45</f>
        <v>4.4202339984091026</v>
      </c>
      <c r="H51" s="276">
        <f t="shared" si="18"/>
        <v>4.5942589589763898</v>
      </c>
      <c r="I51" s="228">
        <f t="shared" si="18"/>
        <v>3.2716692586650047</v>
      </c>
      <c r="J51" s="276">
        <f t="shared" ref="J51:K53" si="19">J30+J35+J40+J45</f>
        <v>4.8030889116571345</v>
      </c>
      <c r="K51" s="276">
        <f t="shared" si="19"/>
        <v>4.5942589589763898</v>
      </c>
      <c r="L51" s="228">
        <f>L30+L35+L40+L45</f>
        <v>4.5246489747494749</v>
      </c>
      <c r="O51" s="228">
        <f>O30+O35+O40+O45</f>
        <v>4.5246489747494749</v>
      </c>
    </row>
    <row r="52" spans="3:27" x14ac:dyDescent="0.25">
      <c r="C52" s="153"/>
      <c r="D52" s="153" t="s">
        <v>143</v>
      </c>
      <c r="E52" s="153"/>
      <c r="F52" s="320" t="s">
        <v>117</v>
      </c>
      <c r="G52" s="276">
        <f t="shared" ref="G52:H52" si="20">G31+G36+G41+G46</f>
        <v>3.8567421351258977</v>
      </c>
      <c r="H52" s="276">
        <f t="shared" si="20"/>
        <v>4.008582376666288</v>
      </c>
      <c r="I52" s="228">
        <f t="shared" ref="I52:I53" si="21">I46+I41+I36+I31</f>
        <v>2.8545965409593261</v>
      </c>
      <c r="J52" s="276">
        <f t="shared" si="19"/>
        <v>4.1907906665147552</v>
      </c>
      <c r="K52" s="276">
        <f t="shared" si="19"/>
        <v>4.008582376666288</v>
      </c>
      <c r="L52" s="228">
        <f>L46+L41+L36+L31</f>
        <v>3.9478462800501317</v>
      </c>
      <c r="O52" s="228">
        <f>O46+O41+O36+O31</f>
        <v>3.9478462800501317</v>
      </c>
    </row>
    <row r="53" spans="3:27" x14ac:dyDescent="0.25">
      <c r="C53" s="153"/>
      <c r="D53" s="153" t="s">
        <v>179</v>
      </c>
      <c r="E53" s="153"/>
      <c r="F53" s="320" t="s">
        <v>117</v>
      </c>
      <c r="G53" s="276">
        <f t="shared" ref="G53:H53" si="22">G32+G37+G42+G47</f>
        <v>0.25961431463056511</v>
      </c>
      <c r="H53" s="276">
        <f t="shared" si="22"/>
        <v>0.26983535063964248</v>
      </c>
      <c r="I53" s="228">
        <f t="shared" si="21"/>
        <v>0.19215547697065452</v>
      </c>
      <c r="J53" s="276">
        <f t="shared" si="19"/>
        <v>0.28210059385053537</v>
      </c>
      <c r="K53" s="276">
        <f t="shared" si="19"/>
        <v>0.26983535063964248</v>
      </c>
      <c r="L53" s="228">
        <f>L47+L42+L37+L32</f>
        <v>0.26574693623601153</v>
      </c>
      <c r="O53" s="228">
        <f>O47+O42+O37+O32</f>
        <v>0.26574693623601153</v>
      </c>
    </row>
    <row r="54" spans="3:27" x14ac:dyDescent="0.25">
      <c r="F54" s="153"/>
      <c r="G54" s="153"/>
      <c r="H54" s="153"/>
      <c r="I54" s="153"/>
      <c r="J54" s="153"/>
      <c r="K54" s="153"/>
      <c r="L54" s="153"/>
      <c r="O54" s="153"/>
    </row>
    <row r="55" spans="3:27" x14ac:dyDescent="0.25">
      <c r="D55" s="153" t="s">
        <v>222</v>
      </c>
      <c r="F55" s="320" t="s">
        <v>117</v>
      </c>
      <c r="G55" s="276">
        <f t="shared" ref="G55:I55" si="23">SUM(G50:G53)</f>
        <v>46.927420289855078</v>
      </c>
      <c r="H55" s="276">
        <f t="shared" si="23"/>
        <v>48.774956521739135</v>
      </c>
      <c r="I55" s="276">
        <f t="shared" si="23"/>
        <v>34.733681159420286</v>
      </c>
      <c r="J55" s="276">
        <f>SUM(J50:J53)</f>
        <v>50.992000000000004</v>
      </c>
      <c r="K55" s="276">
        <f t="shared" ref="K55:L55" si="24">SUM(K50:K53)</f>
        <v>48.774956521739135</v>
      </c>
      <c r="L55" s="276">
        <f t="shared" si="24"/>
        <v>48.035942028985502</v>
      </c>
      <c r="O55" s="276">
        <f t="shared" ref="O55" si="25">SUM(O50:O53)</f>
        <v>46.286630431583426</v>
      </c>
      <c r="P55" s="229"/>
    </row>
    <row r="57" spans="3:27" x14ac:dyDescent="0.25">
      <c r="U57" s="280"/>
      <c r="V57" s="280"/>
      <c r="W57" s="280"/>
      <c r="X57" s="280"/>
      <c r="Y57" s="280"/>
      <c r="Z57" s="280"/>
      <c r="AA57" s="280"/>
    </row>
    <row r="58" spans="3:27" x14ac:dyDescent="0.25">
      <c r="J58" s="182" t="s">
        <v>321</v>
      </c>
      <c r="K58" s="156"/>
      <c r="L58" s="156"/>
      <c r="M58" s="156"/>
      <c r="N58" s="156"/>
      <c r="O58" s="156"/>
      <c r="P58" s="157"/>
      <c r="U58" s="280"/>
      <c r="V58" s="280"/>
      <c r="W58" s="280"/>
      <c r="X58" s="280"/>
      <c r="Y58" s="280"/>
      <c r="Z58" s="280"/>
      <c r="AA58" s="280"/>
    </row>
    <row r="59" spans="3:27" x14ac:dyDescent="0.25">
      <c r="J59" s="177"/>
      <c r="K59" s="280"/>
      <c r="L59" s="280"/>
      <c r="M59" s="280"/>
      <c r="N59" s="280"/>
      <c r="O59" s="280"/>
      <c r="P59" s="161"/>
      <c r="U59" s="280"/>
      <c r="V59" s="280"/>
      <c r="W59" s="280"/>
      <c r="X59" s="280"/>
      <c r="Y59" s="280"/>
      <c r="Z59" s="280"/>
      <c r="AA59" s="280"/>
    </row>
    <row r="60" spans="3:27" x14ac:dyDescent="0.25">
      <c r="J60" s="177"/>
      <c r="K60" s="318" t="s">
        <v>457</v>
      </c>
      <c r="L60" s="280"/>
      <c r="M60" s="280"/>
      <c r="N60" s="280"/>
      <c r="O60" s="280"/>
      <c r="P60" s="161"/>
      <c r="U60" s="280"/>
      <c r="V60" s="280"/>
      <c r="W60" s="280"/>
      <c r="X60" s="280"/>
      <c r="Y60" s="280"/>
      <c r="Z60" s="280"/>
      <c r="AA60" s="280"/>
    </row>
    <row r="61" spans="3:27" x14ac:dyDescent="0.25">
      <c r="J61" s="177"/>
      <c r="K61" s="280"/>
      <c r="L61" s="281" t="s">
        <v>117</v>
      </c>
      <c r="M61" s="318" t="s">
        <v>450</v>
      </c>
      <c r="N61" s="280"/>
      <c r="O61" s="280" t="s">
        <v>322</v>
      </c>
      <c r="P61" s="161"/>
      <c r="U61" s="280"/>
      <c r="V61" s="280"/>
      <c r="W61" s="280"/>
      <c r="X61" s="280"/>
      <c r="Y61" s="280"/>
      <c r="Z61" s="280"/>
      <c r="AA61" s="280"/>
    </row>
    <row r="62" spans="3:27" x14ac:dyDescent="0.25">
      <c r="J62" s="177"/>
      <c r="K62" s="280" t="s">
        <v>229</v>
      </c>
      <c r="L62" s="319">
        <f>L29</f>
        <v>1.0421832061068705</v>
      </c>
      <c r="M62" s="178">
        <f>L62/$L$50</f>
        <v>2.6520208826584596E-2</v>
      </c>
      <c r="N62" s="280"/>
      <c r="O62" s="280" t="s">
        <v>323</v>
      </c>
      <c r="P62" s="161"/>
      <c r="U62" s="280"/>
      <c r="V62" s="280"/>
      <c r="W62" s="280"/>
      <c r="X62" s="280"/>
      <c r="Y62" s="280"/>
      <c r="Z62" s="280"/>
      <c r="AA62" s="280"/>
    </row>
    <row r="63" spans="3:27" x14ac:dyDescent="0.25">
      <c r="J63" s="177"/>
      <c r="K63" s="280" t="s">
        <v>228</v>
      </c>
      <c r="L63" s="319">
        <f>L34</f>
        <v>5.6018746268656727</v>
      </c>
      <c r="M63" s="178">
        <f>L63/$L$50</f>
        <v>0.14254968229605969</v>
      </c>
      <c r="N63" s="280"/>
      <c r="O63" s="280" t="s">
        <v>323</v>
      </c>
      <c r="P63" s="161"/>
      <c r="U63" s="280"/>
      <c r="V63" s="280"/>
      <c r="W63" s="280"/>
      <c r="X63" s="280"/>
      <c r="Y63" s="280"/>
      <c r="Z63" s="280"/>
      <c r="AA63" s="280"/>
    </row>
    <row r="64" spans="3:27" x14ac:dyDescent="0.25">
      <c r="J64" s="177"/>
      <c r="K64" s="280" t="s">
        <v>324</v>
      </c>
      <c r="L64" s="319">
        <f>L39</f>
        <v>11.096302555436061</v>
      </c>
      <c r="M64" s="178">
        <f>L64/$L$50</f>
        <v>0.28236519188637943</v>
      </c>
      <c r="N64" s="280"/>
      <c r="O64" s="280" t="s">
        <v>262</v>
      </c>
      <c r="P64" s="161"/>
      <c r="U64" s="280"/>
      <c r="V64" s="280"/>
      <c r="W64" s="280"/>
      <c r="X64" s="280"/>
      <c r="Y64" s="280"/>
      <c r="Z64" s="280"/>
      <c r="AA64" s="280"/>
    </row>
    <row r="65" spans="10:27" x14ac:dyDescent="0.25">
      <c r="J65" s="177"/>
      <c r="K65" s="280" t="s">
        <v>226</v>
      </c>
      <c r="L65" s="319">
        <f>L44</f>
        <v>21.557339449541285</v>
      </c>
      <c r="M65" s="178">
        <f>L65/$L$50</f>
        <v>0.54856491699097643</v>
      </c>
      <c r="N65" s="280"/>
      <c r="O65" s="280" t="s">
        <v>262</v>
      </c>
      <c r="P65" s="161"/>
      <c r="U65" s="280"/>
      <c r="V65" s="280"/>
      <c r="W65" s="280"/>
      <c r="X65" s="280"/>
      <c r="Y65" s="280"/>
      <c r="Z65" s="280"/>
      <c r="AA65" s="280"/>
    </row>
    <row r="66" spans="10:27" x14ac:dyDescent="0.25">
      <c r="J66" s="177"/>
      <c r="K66" s="280"/>
      <c r="L66" s="280"/>
      <c r="M66" s="280"/>
      <c r="N66" s="280"/>
      <c r="O66" s="280"/>
      <c r="P66" s="161"/>
      <c r="U66" s="280"/>
      <c r="V66" s="280"/>
      <c r="W66" s="280"/>
      <c r="X66" s="280"/>
      <c r="Y66" s="280"/>
      <c r="Z66" s="280"/>
      <c r="AA66" s="280"/>
    </row>
    <row r="67" spans="10:27" x14ac:dyDescent="0.25">
      <c r="J67" s="177"/>
      <c r="K67" s="280"/>
      <c r="L67" s="280"/>
      <c r="M67" s="280"/>
      <c r="N67" s="280"/>
      <c r="O67" s="280"/>
      <c r="P67" s="161"/>
      <c r="U67" s="280"/>
      <c r="V67" s="280"/>
      <c r="W67" s="280"/>
      <c r="X67" s="280"/>
      <c r="Y67" s="280"/>
      <c r="Z67" s="280"/>
      <c r="AA67" s="280"/>
    </row>
    <row r="68" spans="10:27" x14ac:dyDescent="0.25">
      <c r="J68" s="177"/>
      <c r="K68" s="280"/>
      <c r="L68" s="280"/>
      <c r="M68" s="280"/>
      <c r="N68" s="280"/>
      <c r="O68" s="280"/>
      <c r="P68" s="161"/>
      <c r="U68" s="280"/>
      <c r="V68" s="280"/>
      <c r="W68" s="280"/>
      <c r="X68" s="280"/>
      <c r="Y68" s="280"/>
      <c r="Z68" s="280"/>
      <c r="AA68" s="280"/>
    </row>
    <row r="69" spans="10:27" x14ac:dyDescent="0.25">
      <c r="J69" s="177"/>
      <c r="K69" s="280" t="s">
        <v>143</v>
      </c>
      <c r="L69" s="280" t="s">
        <v>325</v>
      </c>
      <c r="M69" s="280" t="s">
        <v>326</v>
      </c>
      <c r="N69" s="280" t="s">
        <v>178</v>
      </c>
      <c r="O69" s="280" t="s">
        <v>179</v>
      </c>
      <c r="P69" s="161" t="s">
        <v>327</v>
      </c>
      <c r="U69" s="280"/>
      <c r="V69" s="280"/>
      <c r="W69" s="280"/>
      <c r="X69" s="280"/>
      <c r="Y69" s="280"/>
      <c r="Z69" s="280"/>
      <c r="AA69" s="280"/>
    </row>
    <row r="70" spans="10:27" x14ac:dyDescent="0.25">
      <c r="J70" s="177" t="s">
        <v>226</v>
      </c>
      <c r="K70" s="280"/>
      <c r="L70" s="280"/>
      <c r="M70" s="319">
        <f>L51</f>
        <v>4.5246489747494749</v>
      </c>
      <c r="N70" s="319">
        <f>SUM(L64:L65)</f>
        <v>32.653642004977343</v>
      </c>
      <c r="O70" s="280"/>
      <c r="P70" s="161"/>
      <c r="U70" s="280"/>
      <c r="V70" s="280"/>
      <c r="W70" s="280"/>
      <c r="X70" s="280"/>
      <c r="Y70" s="280"/>
      <c r="Z70" s="280"/>
      <c r="AA70" s="280"/>
    </row>
    <row r="71" spans="10:27" x14ac:dyDescent="0.25">
      <c r="J71" s="177" t="s">
        <v>328</v>
      </c>
      <c r="K71" s="280"/>
      <c r="L71" s="280"/>
      <c r="M71" s="280"/>
      <c r="N71" s="280"/>
      <c r="O71" s="280"/>
      <c r="P71" s="161"/>
      <c r="U71" s="280"/>
      <c r="V71" s="280"/>
      <c r="W71" s="280"/>
      <c r="X71" s="280"/>
      <c r="Y71" s="280"/>
      <c r="Z71" s="280"/>
      <c r="AA71" s="280"/>
    </row>
    <row r="72" spans="10:27" x14ac:dyDescent="0.25">
      <c r="J72" s="177" t="s">
        <v>331</v>
      </c>
      <c r="K72" s="280"/>
      <c r="L72" s="280"/>
      <c r="M72" s="280"/>
      <c r="N72" s="280"/>
      <c r="O72" s="280"/>
      <c r="P72" s="161"/>
      <c r="U72" s="280"/>
      <c r="V72" s="280"/>
      <c r="W72" s="280"/>
      <c r="X72" s="280"/>
      <c r="Y72" s="280"/>
      <c r="Z72" s="280"/>
      <c r="AA72" s="280"/>
    </row>
    <row r="73" spans="10:27" x14ac:dyDescent="0.25">
      <c r="J73" s="177" t="s">
        <v>332</v>
      </c>
      <c r="K73" s="280"/>
      <c r="L73" s="280"/>
      <c r="M73" s="280"/>
      <c r="N73" s="280"/>
      <c r="O73" s="280"/>
      <c r="P73" s="161"/>
      <c r="U73" s="280"/>
      <c r="V73" s="280"/>
      <c r="W73" s="280"/>
      <c r="X73" s="280"/>
      <c r="Y73" s="280"/>
      <c r="Z73" s="280"/>
      <c r="AA73" s="280"/>
    </row>
    <row r="74" spans="10:27" x14ac:dyDescent="0.25">
      <c r="J74" s="177" t="s">
        <v>333</v>
      </c>
      <c r="K74" s="280"/>
      <c r="L74" s="280"/>
      <c r="M74" s="280"/>
      <c r="N74" s="280"/>
      <c r="O74" s="280"/>
      <c r="P74" s="161"/>
      <c r="U74" s="280"/>
      <c r="V74" s="280"/>
      <c r="W74" s="280"/>
      <c r="X74" s="280"/>
      <c r="Y74" s="280"/>
      <c r="Z74" s="280"/>
      <c r="AA74" s="280"/>
    </row>
    <row r="75" spans="10:27" x14ac:dyDescent="0.25">
      <c r="J75" s="177" t="s">
        <v>334</v>
      </c>
      <c r="K75" s="280"/>
      <c r="L75" s="280"/>
      <c r="M75" s="280"/>
      <c r="N75" s="319">
        <f>SUM(L62:L63)</f>
        <v>6.6440578329725435</v>
      </c>
      <c r="O75" s="280"/>
      <c r="P75" s="161"/>
      <c r="U75" s="280"/>
      <c r="V75" s="280"/>
      <c r="W75" s="280"/>
      <c r="X75" s="280"/>
      <c r="Y75" s="280"/>
      <c r="Z75" s="280"/>
      <c r="AA75" s="280"/>
    </row>
    <row r="76" spans="10:27" x14ac:dyDescent="0.25">
      <c r="J76" s="177" t="s">
        <v>335</v>
      </c>
      <c r="K76" s="280"/>
      <c r="L76" s="280"/>
      <c r="M76" s="280"/>
      <c r="N76" s="280"/>
      <c r="O76" s="280"/>
      <c r="P76" s="161"/>
      <c r="U76" s="280"/>
      <c r="V76" s="280"/>
      <c r="W76" s="280"/>
      <c r="X76" s="280"/>
      <c r="Y76" s="280"/>
      <c r="Z76" s="280"/>
      <c r="AA76" s="280"/>
    </row>
    <row r="77" spans="10:27" x14ac:dyDescent="0.25">
      <c r="J77" s="177" t="s">
        <v>336</v>
      </c>
      <c r="K77" s="280"/>
      <c r="L77" s="280"/>
      <c r="M77" s="280"/>
      <c r="N77" s="280"/>
      <c r="O77" s="280"/>
      <c r="P77" s="161"/>
      <c r="U77" s="280"/>
      <c r="V77" s="280"/>
      <c r="W77" s="280"/>
      <c r="X77" s="280"/>
      <c r="Y77" s="280"/>
      <c r="Z77" s="280"/>
      <c r="AA77" s="280"/>
    </row>
    <row r="78" spans="10:27" x14ac:dyDescent="0.25">
      <c r="J78" s="177" t="s">
        <v>337</v>
      </c>
      <c r="K78" s="280"/>
      <c r="L78" s="280"/>
      <c r="M78" s="280"/>
      <c r="N78" s="280"/>
      <c r="O78" s="280"/>
      <c r="P78" s="161"/>
      <c r="U78" s="280"/>
      <c r="V78" s="280"/>
      <c r="W78" s="280"/>
      <c r="X78" s="280"/>
      <c r="Y78" s="280"/>
      <c r="Z78" s="280"/>
      <c r="AA78" s="280"/>
    </row>
    <row r="79" spans="10:27" x14ac:dyDescent="0.25">
      <c r="J79" s="179" t="s">
        <v>272</v>
      </c>
      <c r="K79" s="180"/>
      <c r="L79" s="180"/>
      <c r="M79" s="180"/>
      <c r="N79" s="180"/>
      <c r="O79" s="180"/>
      <c r="P79" s="181"/>
    </row>
    <row r="81" spans="1:17" x14ac:dyDescent="0.25">
      <c r="A81" s="153" t="s">
        <v>338</v>
      </c>
    </row>
    <row r="82" spans="1:17" x14ac:dyDescent="0.25">
      <c r="B82" s="273" t="s">
        <v>537</v>
      </c>
    </row>
    <row r="84" spans="1:17" x14ac:dyDescent="0.25">
      <c r="C84" s="153" t="s">
        <v>535</v>
      </c>
      <c r="E84" s="153"/>
      <c r="F84" s="153" t="s">
        <v>339</v>
      </c>
      <c r="G84" s="153"/>
      <c r="H84" s="153"/>
      <c r="I84" s="153"/>
      <c r="J84" s="153"/>
      <c r="K84" s="153"/>
      <c r="L84" s="308">
        <f>'Waterberg project'!N26*P84</f>
        <v>214.83825141995794</v>
      </c>
      <c r="P84" s="232">
        <v>12.506056651959728</v>
      </c>
      <c r="Q84" s="307" t="s">
        <v>536</v>
      </c>
    </row>
    <row r="85" spans="1:17" x14ac:dyDescent="0.25">
      <c r="C85" s="153" t="s">
        <v>538</v>
      </c>
      <c r="F85" s="153" t="s">
        <v>539</v>
      </c>
      <c r="L85" s="275">
        <f>'Waterberg project'!N25*P84</f>
        <v>1159.5845779193976</v>
      </c>
    </row>
    <row r="86" spans="1:17" x14ac:dyDescent="0.25">
      <c r="C86" s="153" t="s">
        <v>508</v>
      </c>
      <c r="D86" s="153"/>
      <c r="E86" s="153"/>
      <c r="F86" s="153" t="s">
        <v>509</v>
      </c>
      <c r="L86" s="154">
        <f>'Waterberg project'!L24</f>
        <v>45</v>
      </c>
    </row>
    <row r="103" spans="5:11" x14ac:dyDescent="0.25">
      <c r="E103" s="227"/>
      <c r="F103" s="227"/>
      <c r="G103" s="227"/>
      <c r="H103" s="227"/>
      <c r="I103" s="227"/>
      <c r="J103" s="227"/>
      <c r="K103" s="227"/>
    </row>
    <row r="104" spans="5:11" x14ac:dyDescent="0.25">
      <c r="E104" s="230"/>
      <c r="F104" s="230"/>
      <c r="G104" s="230"/>
      <c r="H104" s="230"/>
      <c r="I104" s="230"/>
      <c r="J104" s="230"/>
      <c r="K104" s="230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Y85"/>
  <sheetViews>
    <sheetView workbookViewId="0"/>
  </sheetViews>
  <sheetFormatPr defaultColWidth="8.85546875" defaultRowHeight="15" x14ac:dyDescent="0.25"/>
  <cols>
    <col min="1" max="1" width="8.85546875" style="154"/>
    <col min="2" max="2" width="13.140625" style="154" customWidth="1"/>
    <col min="3" max="3" width="8.85546875" style="154"/>
    <col min="4" max="4" width="14.7109375" style="154" customWidth="1"/>
    <col min="5" max="5" width="13" style="154" customWidth="1"/>
    <col min="6" max="7" width="8.85546875" style="154"/>
    <col min="8" max="8" width="12.140625" style="154" customWidth="1"/>
    <col min="9" max="9" width="14.140625" style="154" customWidth="1"/>
    <col min="10" max="22" width="8.85546875" style="154"/>
    <col min="23" max="23" width="19.7109375" style="154" customWidth="1"/>
    <col min="24" max="16384" width="8.85546875" style="154"/>
  </cols>
  <sheetData>
    <row r="2" spans="2:18" x14ac:dyDescent="0.25">
      <c r="B2" s="153" t="s">
        <v>187</v>
      </c>
    </row>
    <row r="3" spans="2:18" x14ac:dyDescent="0.25"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7"/>
    </row>
    <row r="4" spans="2:18" x14ac:dyDescent="0.25">
      <c r="B4" s="158" t="s">
        <v>188</v>
      </c>
      <c r="C4" s="159" t="s">
        <v>189</v>
      </c>
      <c r="D4" s="160"/>
      <c r="E4" s="160"/>
      <c r="F4" s="160"/>
      <c r="G4" s="160"/>
      <c r="H4" s="160"/>
      <c r="N4" s="161"/>
    </row>
    <row r="5" spans="2:18" x14ac:dyDescent="0.25">
      <c r="B5" s="162"/>
      <c r="C5" s="163"/>
      <c r="D5" s="164">
        <v>2013</v>
      </c>
      <c r="E5" s="164">
        <v>2014</v>
      </c>
      <c r="F5" s="164">
        <v>2015</v>
      </c>
      <c r="G5" s="164">
        <v>2016</v>
      </c>
      <c r="H5" s="165">
        <v>2017</v>
      </c>
      <c r="I5" s="153" t="s">
        <v>190</v>
      </c>
      <c r="N5" s="161"/>
    </row>
    <row r="6" spans="2:18" x14ac:dyDescent="0.25">
      <c r="B6" s="166" t="s">
        <v>143</v>
      </c>
      <c r="C6" s="167" t="s">
        <v>191</v>
      </c>
      <c r="D6" s="168">
        <v>255019489</v>
      </c>
      <c r="E6" s="168">
        <v>260642387</v>
      </c>
      <c r="F6" s="168">
        <v>252176473</v>
      </c>
      <c r="G6" s="168">
        <v>250566445</v>
      </c>
      <c r="H6" s="169">
        <v>252347846</v>
      </c>
      <c r="I6" s="170">
        <f>H6</f>
        <v>252347846</v>
      </c>
      <c r="N6" s="161"/>
    </row>
    <row r="7" spans="2:18" x14ac:dyDescent="0.25">
      <c r="B7" s="166" t="s">
        <v>192</v>
      </c>
      <c r="C7" s="167" t="s">
        <v>191</v>
      </c>
      <c r="D7" s="168">
        <v>1294</v>
      </c>
      <c r="E7" s="168">
        <v>1332</v>
      </c>
      <c r="F7" s="168">
        <v>1362</v>
      </c>
      <c r="G7" s="168">
        <v>1101</v>
      </c>
      <c r="H7" s="169">
        <v>1062</v>
      </c>
      <c r="I7" s="170"/>
      <c r="N7" s="161"/>
    </row>
    <row r="8" spans="2:18" x14ac:dyDescent="0.25">
      <c r="B8" s="166" t="s">
        <v>193</v>
      </c>
      <c r="C8" s="167" t="s">
        <v>191</v>
      </c>
      <c r="D8" s="168">
        <v>80821</v>
      </c>
      <c r="E8" s="168">
        <v>78697</v>
      </c>
      <c r="F8" s="168">
        <v>77360</v>
      </c>
      <c r="G8" s="168">
        <v>65257</v>
      </c>
      <c r="H8" s="169">
        <v>65502</v>
      </c>
      <c r="I8" s="170"/>
      <c r="N8" s="161"/>
    </row>
    <row r="9" spans="2:18" x14ac:dyDescent="0.25">
      <c r="B9" s="166" t="s">
        <v>194</v>
      </c>
      <c r="C9" s="167" t="s">
        <v>191</v>
      </c>
      <c r="D9" s="168">
        <v>13652883</v>
      </c>
      <c r="E9" s="168">
        <v>14037722</v>
      </c>
      <c r="F9" s="168">
        <v>15655661</v>
      </c>
      <c r="G9" s="168">
        <v>14707518</v>
      </c>
      <c r="H9" s="169">
        <v>16573021</v>
      </c>
      <c r="I9" s="170">
        <f>H9</f>
        <v>16573021</v>
      </c>
      <c r="N9" s="161"/>
    </row>
    <row r="10" spans="2:18" x14ac:dyDescent="0.25">
      <c r="B10" s="166" t="s">
        <v>195</v>
      </c>
      <c r="C10" s="167" t="s">
        <v>196</v>
      </c>
      <c r="D10" s="168">
        <v>8143256</v>
      </c>
      <c r="E10" s="168">
        <v>8046050</v>
      </c>
      <c r="F10" s="168">
        <v>8232734</v>
      </c>
      <c r="G10" s="168">
        <v>8304587</v>
      </c>
      <c r="H10" s="169">
        <v>9698038</v>
      </c>
      <c r="I10" s="170"/>
      <c r="N10" s="161"/>
      <c r="Q10" s="154" t="s">
        <v>197</v>
      </c>
    </row>
    <row r="11" spans="2:18" x14ac:dyDescent="0.25">
      <c r="B11" s="166" t="s">
        <v>198</v>
      </c>
      <c r="C11" s="167" t="s">
        <v>199</v>
      </c>
      <c r="D11" s="168">
        <v>159472</v>
      </c>
      <c r="E11" s="168">
        <v>149634</v>
      </c>
      <c r="F11" s="168">
        <v>144504</v>
      </c>
      <c r="G11" s="168">
        <v>142091</v>
      </c>
      <c r="H11" s="169">
        <v>137133</v>
      </c>
      <c r="I11" s="170">
        <f>H11/J11</f>
        <v>17141625</v>
      </c>
      <c r="J11" s="171">
        <f>8/1000</f>
        <v>8.0000000000000002E-3</v>
      </c>
      <c r="K11" s="154" t="s">
        <v>200</v>
      </c>
      <c r="N11" s="161"/>
      <c r="Q11" s="154" t="s">
        <v>201</v>
      </c>
    </row>
    <row r="12" spans="2:18" x14ac:dyDescent="0.25">
      <c r="B12" s="166" t="s">
        <v>202</v>
      </c>
      <c r="C12" s="167" t="s">
        <v>199</v>
      </c>
      <c r="D12" s="168">
        <v>264188</v>
      </c>
      <c r="E12" s="168">
        <v>188444</v>
      </c>
      <c r="F12" s="168">
        <v>275515</v>
      </c>
      <c r="G12" s="168">
        <v>263653</v>
      </c>
      <c r="H12" s="169">
        <v>260264</v>
      </c>
      <c r="I12" s="170">
        <f>H12/J12</f>
        <v>65066000</v>
      </c>
      <c r="J12" s="171">
        <f>Q12/1000</f>
        <v>4.0000000000000001E-3</v>
      </c>
      <c r="K12" s="154" t="s">
        <v>200</v>
      </c>
      <c r="N12" s="161"/>
      <c r="Q12" s="154">
        <v>4</v>
      </c>
      <c r="R12" s="154" t="s">
        <v>203</v>
      </c>
    </row>
    <row r="13" spans="2:18" x14ac:dyDescent="0.25">
      <c r="B13" s="166" t="s">
        <v>204</v>
      </c>
      <c r="C13" s="167" t="s">
        <v>191</v>
      </c>
      <c r="D13" s="168">
        <v>51208</v>
      </c>
      <c r="E13" s="168">
        <v>54956</v>
      </c>
      <c r="F13" s="168">
        <v>56689</v>
      </c>
      <c r="G13" s="168">
        <v>48994</v>
      </c>
      <c r="H13" s="169">
        <v>48383</v>
      </c>
      <c r="I13" s="170"/>
      <c r="N13" s="161"/>
    </row>
    <row r="14" spans="2:18" x14ac:dyDescent="0.25">
      <c r="B14" s="166" t="s">
        <v>205</v>
      </c>
      <c r="C14" s="167" t="s">
        <v>191</v>
      </c>
      <c r="D14" s="168">
        <v>41848</v>
      </c>
      <c r="E14" s="168">
        <v>29348</v>
      </c>
      <c r="F14" s="168">
        <v>34573</v>
      </c>
      <c r="G14" s="168">
        <v>39344</v>
      </c>
      <c r="H14" s="169">
        <v>48150</v>
      </c>
      <c r="I14" s="170"/>
      <c r="N14" s="161"/>
    </row>
    <row r="15" spans="2:18" x14ac:dyDescent="0.25">
      <c r="B15" s="166" t="s">
        <v>206</v>
      </c>
      <c r="C15" s="167" t="s">
        <v>191</v>
      </c>
      <c r="D15" s="168">
        <v>11055658</v>
      </c>
      <c r="E15" s="168">
        <v>14051244</v>
      </c>
      <c r="F15" s="168">
        <v>11033717</v>
      </c>
      <c r="G15" s="168">
        <v>10805809</v>
      </c>
      <c r="H15" s="169">
        <v>14143794</v>
      </c>
      <c r="I15" s="170">
        <f>H15</f>
        <v>14143794</v>
      </c>
      <c r="N15" s="161"/>
    </row>
    <row r="16" spans="2:18" x14ac:dyDescent="0.25">
      <c r="B16" s="166" t="s">
        <v>207</v>
      </c>
      <c r="C16" s="167" t="s">
        <v>191</v>
      </c>
      <c r="D16" s="168">
        <v>71533814</v>
      </c>
      <c r="E16" s="168">
        <v>80759334</v>
      </c>
      <c r="F16" s="168">
        <v>72805534</v>
      </c>
      <c r="G16" s="168">
        <v>66455868</v>
      </c>
      <c r="H16" s="169">
        <v>74857447</v>
      </c>
      <c r="I16" s="170">
        <f>H16</f>
        <v>74857447</v>
      </c>
      <c r="N16" s="161"/>
    </row>
    <row r="17" spans="2:14" x14ac:dyDescent="0.25">
      <c r="B17" s="172" t="s">
        <v>208</v>
      </c>
      <c r="C17" s="173" t="s">
        <v>191</v>
      </c>
      <c r="D17" s="174">
        <v>30145</v>
      </c>
      <c r="E17" s="174">
        <v>26141</v>
      </c>
      <c r="F17" s="174">
        <v>29040</v>
      </c>
      <c r="G17" s="174">
        <v>26695</v>
      </c>
      <c r="H17" s="175">
        <v>30778</v>
      </c>
      <c r="I17" s="170"/>
      <c r="K17" s="176"/>
      <c r="L17" s="176"/>
      <c r="N17" s="161"/>
    </row>
    <row r="18" spans="2:14" x14ac:dyDescent="0.25">
      <c r="B18" s="177"/>
      <c r="I18" s="170"/>
      <c r="N18" s="161"/>
    </row>
    <row r="19" spans="2:14" x14ac:dyDescent="0.25">
      <c r="B19" s="177"/>
      <c r="I19" s="170">
        <f>SUM(I6:I17)</f>
        <v>440129733</v>
      </c>
      <c r="N19" s="161"/>
    </row>
    <row r="20" spans="2:14" x14ac:dyDescent="0.25">
      <c r="B20" s="177"/>
      <c r="N20" s="161"/>
    </row>
    <row r="21" spans="2:14" x14ac:dyDescent="0.25">
      <c r="B21" s="177"/>
      <c r="E21" s="154" t="s">
        <v>209</v>
      </c>
      <c r="N21" s="161"/>
    </row>
    <row r="22" spans="2:14" x14ac:dyDescent="0.25">
      <c r="B22" s="177"/>
      <c r="C22" s="154" t="s">
        <v>143</v>
      </c>
      <c r="E22" s="170">
        <f>H6</f>
        <v>252347846</v>
      </c>
      <c r="F22" s="178">
        <f t="shared" ref="F22:F27" si="0">E22/$E$27</f>
        <v>0.57334878123310062</v>
      </c>
      <c r="N22" s="161"/>
    </row>
    <row r="23" spans="2:14" x14ac:dyDescent="0.25">
      <c r="B23" s="177"/>
      <c r="C23" s="154" t="s">
        <v>210</v>
      </c>
      <c r="E23" s="170">
        <f>I11+I12</f>
        <v>82207625</v>
      </c>
      <c r="F23" s="178">
        <f t="shared" si="0"/>
        <v>0.18678043957552851</v>
      </c>
      <c r="N23" s="161"/>
    </row>
    <row r="24" spans="2:14" x14ac:dyDescent="0.25">
      <c r="B24" s="177"/>
      <c r="C24" s="154" t="s">
        <v>211</v>
      </c>
      <c r="E24" s="170">
        <f>H9</f>
        <v>16573021</v>
      </c>
      <c r="F24" s="178">
        <f t="shared" si="0"/>
        <v>3.7654854369950051E-2</v>
      </c>
      <c r="N24" s="161"/>
    </row>
    <row r="25" spans="2:14" x14ac:dyDescent="0.25">
      <c r="B25" s="177"/>
      <c r="C25" s="154" t="s">
        <v>206</v>
      </c>
      <c r="E25" s="170">
        <f>H15</f>
        <v>14143794</v>
      </c>
      <c r="F25" s="178">
        <f t="shared" si="0"/>
        <v>3.2135511281170363E-2</v>
      </c>
      <c r="N25" s="161"/>
    </row>
    <row r="26" spans="2:14" x14ac:dyDescent="0.25">
      <c r="B26" s="177"/>
      <c r="C26" s="154" t="s">
        <v>212</v>
      </c>
      <c r="E26" s="170">
        <f>H16</f>
        <v>74857447</v>
      </c>
      <c r="F26" s="178">
        <f t="shared" si="0"/>
        <v>0.17008041354025041</v>
      </c>
      <c r="N26" s="161"/>
    </row>
    <row r="27" spans="2:14" x14ac:dyDescent="0.25">
      <c r="B27" s="177"/>
      <c r="E27" s="170">
        <f>SUM(E22:E26)</f>
        <v>440129733</v>
      </c>
      <c r="F27" s="178">
        <f t="shared" si="0"/>
        <v>1</v>
      </c>
      <c r="N27" s="161"/>
    </row>
    <row r="28" spans="2:14" x14ac:dyDescent="0.25">
      <c r="B28" s="177"/>
      <c r="N28" s="161"/>
    </row>
    <row r="29" spans="2:14" x14ac:dyDescent="0.25">
      <c r="B29" s="177"/>
      <c r="N29" s="161"/>
    </row>
    <row r="30" spans="2:14" x14ac:dyDescent="0.25">
      <c r="B30" s="179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1"/>
    </row>
    <row r="32" spans="2:14" x14ac:dyDescent="0.25">
      <c r="B32" s="182" t="s">
        <v>213</v>
      </c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7"/>
    </row>
    <row r="33" spans="2:25" x14ac:dyDescent="0.25">
      <c r="B33" s="177"/>
      <c r="N33" s="161"/>
    </row>
    <row r="34" spans="2:25" x14ac:dyDescent="0.25">
      <c r="B34" s="177" t="s">
        <v>214</v>
      </c>
      <c r="N34" s="161"/>
    </row>
    <row r="35" spans="2:25" ht="43.5" customHeight="1" x14ac:dyDescent="0.25">
      <c r="B35" s="183" t="s">
        <v>215</v>
      </c>
      <c r="C35" s="184" t="s">
        <v>216</v>
      </c>
      <c r="D35" s="185" t="s">
        <v>217</v>
      </c>
      <c r="N35" s="161"/>
    </row>
    <row r="36" spans="2:25" ht="45" x14ac:dyDescent="0.25">
      <c r="B36" s="186" t="s">
        <v>218</v>
      </c>
      <c r="C36" s="187">
        <v>161.69999999999999</v>
      </c>
      <c r="D36" s="187">
        <v>54.2</v>
      </c>
      <c r="N36" s="161"/>
    </row>
    <row r="37" spans="2:25" ht="30" x14ac:dyDescent="0.25">
      <c r="B37" s="186" t="s">
        <v>219</v>
      </c>
      <c r="C37" s="187">
        <v>68.400000000000006</v>
      </c>
      <c r="D37" s="187">
        <v>22.9</v>
      </c>
      <c r="N37" s="161"/>
    </row>
    <row r="38" spans="2:25" ht="30" x14ac:dyDescent="0.25">
      <c r="B38" s="186" t="s">
        <v>220</v>
      </c>
      <c r="C38" s="187">
        <v>47.5</v>
      </c>
      <c r="D38" s="187">
        <v>15.9</v>
      </c>
      <c r="N38" s="161"/>
    </row>
    <row r="39" spans="2:25" x14ac:dyDescent="0.25">
      <c r="B39" s="186" t="s">
        <v>221</v>
      </c>
      <c r="C39" s="187">
        <v>20.8</v>
      </c>
      <c r="D39" s="188">
        <v>7</v>
      </c>
      <c r="N39" s="161"/>
    </row>
    <row r="40" spans="2:25" x14ac:dyDescent="0.25">
      <c r="B40" s="186" t="s">
        <v>222</v>
      </c>
      <c r="C40" s="189">
        <v>299</v>
      </c>
      <c r="D40" s="189">
        <v>100</v>
      </c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7"/>
    </row>
    <row r="41" spans="2:25" x14ac:dyDescent="0.25">
      <c r="B41" s="177"/>
      <c r="Y41" s="161"/>
    </row>
    <row r="42" spans="2:25" x14ac:dyDescent="0.25">
      <c r="B42" s="177"/>
      <c r="Y42" s="161"/>
    </row>
    <row r="43" spans="2:25" x14ac:dyDescent="0.25">
      <c r="B43" s="177"/>
      <c r="Y43" s="161"/>
    </row>
    <row r="44" spans="2:25" x14ac:dyDescent="0.25">
      <c r="B44" s="177"/>
      <c r="Y44" s="161"/>
    </row>
    <row r="45" spans="2:25" x14ac:dyDescent="0.25">
      <c r="B45" s="177"/>
      <c r="Y45" s="161"/>
    </row>
    <row r="46" spans="2:25" x14ac:dyDescent="0.25">
      <c r="B46" s="177"/>
      <c r="R46" s="154" t="s">
        <v>223</v>
      </c>
      <c r="Y46" s="161"/>
    </row>
    <row r="47" spans="2:25" x14ac:dyDescent="0.25">
      <c r="B47" s="177"/>
      <c r="Q47" s="153" t="s">
        <v>224</v>
      </c>
      <c r="Y47" s="161"/>
    </row>
    <row r="48" spans="2:25" ht="14.45" customHeight="1" x14ac:dyDescent="0.25">
      <c r="B48" s="177"/>
      <c r="Y48" s="161"/>
    </row>
    <row r="49" spans="2:25" ht="30" x14ac:dyDescent="0.25">
      <c r="B49" s="177"/>
      <c r="Q49" s="190" t="s">
        <v>225</v>
      </c>
      <c r="R49" s="191" t="s">
        <v>226</v>
      </c>
      <c r="S49" s="191" t="s">
        <v>227</v>
      </c>
      <c r="T49" s="191" t="s">
        <v>228</v>
      </c>
      <c r="U49" s="192" t="s">
        <v>229</v>
      </c>
      <c r="W49" s="192" t="s">
        <v>230</v>
      </c>
      <c r="Y49" s="161"/>
    </row>
    <row r="50" spans="2:25" ht="14.45" customHeight="1" x14ac:dyDescent="0.25">
      <c r="B50" s="177"/>
      <c r="Q50" s="347"/>
      <c r="R50" s="347"/>
      <c r="S50" s="347"/>
      <c r="T50" s="347"/>
      <c r="U50" s="347"/>
      <c r="V50" s="347"/>
      <c r="W50" s="347"/>
      <c r="Y50" s="161"/>
    </row>
    <row r="51" spans="2:25" x14ac:dyDescent="0.25">
      <c r="B51" s="177"/>
      <c r="Q51" s="347"/>
      <c r="R51" s="347"/>
      <c r="S51" s="347"/>
      <c r="T51" s="347"/>
      <c r="U51" s="347"/>
      <c r="V51" s="347"/>
      <c r="W51" s="347"/>
      <c r="X51" s="347"/>
      <c r="Y51" s="348"/>
    </row>
    <row r="52" spans="2:25" ht="30" x14ac:dyDescent="0.25">
      <c r="B52" s="177"/>
      <c r="Q52" s="193" t="s">
        <v>178</v>
      </c>
      <c r="R52" s="194">
        <v>0.82899999999999996</v>
      </c>
      <c r="S52" s="194">
        <v>0.998</v>
      </c>
      <c r="T52" s="194">
        <v>0.71299999999999997</v>
      </c>
      <c r="U52" s="349">
        <v>0.34</v>
      </c>
      <c r="V52" s="350"/>
      <c r="W52" s="349">
        <v>0.21</v>
      </c>
      <c r="X52" s="351"/>
      <c r="Y52" s="352"/>
    </row>
    <row r="53" spans="2:25" x14ac:dyDescent="0.25">
      <c r="B53" s="177"/>
      <c r="Q53" s="195" t="s">
        <v>143</v>
      </c>
      <c r="R53" s="196" t="s">
        <v>231</v>
      </c>
      <c r="S53" s="196" t="s">
        <v>231</v>
      </c>
      <c r="T53" s="197">
        <v>0.252</v>
      </c>
      <c r="U53" s="353">
        <v>0.64100000000000001</v>
      </c>
      <c r="V53" s="354"/>
      <c r="W53" s="353">
        <v>0.78</v>
      </c>
      <c r="X53" s="355"/>
      <c r="Y53" s="356"/>
    </row>
    <row r="54" spans="2:25" ht="30" x14ac:dyDescent="0.25">
      <c r="B54" s="177"/>
      <c r="Q54" s="195" t="s">
        <v>232</v>
      </c>
      <c r="R54" s="197">
        <v>0.17100000000000001</v>
      </c>
      <c r="S54" s="196" t="s">
        <v>231</v>
      </c>
      <c r="T54" s="198">
        <v>2.99E-3</v>
      </c>
      <c r="U54" s="339">
        <v>1.9099999999999999E-2</v>
      </c>
      <c r="V54" s="340"/>
      <c r="W54" s="339">
        <v>0.01</v>
      </c>
      <c r="X54" s="341"/>
      <c r="Y54" s="342"/>
    </row>
    <row r="55" spans="2:25" x14ac:dyDescent="0.25">
      <c r="B55" s="177"/>
      <c r="Q55" s="195" t="s">
        <v>179</v>
      </c>
      <c r="R55" s="196" t="s">
        <v>231</v>
      </c>
      <c r="S55" s="198">
        <v>1.7700000000000001E-3</v>
      </c>
      <c r="T55" s="199">
        <v>3.1300000000000001E-2</v>
      </c>
      <c r="U55" s="343" t="s">
        <v>231</v>
      </c>
      <c r="V55" s="344"/>
      <c r="W55" s="343" t="s">
        <v>231</v>
      </c>
      <c r="X55" s="345"/>
      <c r="Y55" s="346"/>
    </row>
    <row r="56" spans="2:25" x14ac:dyDescent="0.25">
      <c r="B56" s="177"/>
      <c r="Y56" s="161"/>
    </row>
    <row r="57" spans="2:25" ht="31.5" x14ac:dyDescent="0.25">
      <c r="B57" s="177"/>
      <c r="Q57" s="200" t="s">
        <v>233</v>
      </c>
      <c r="Y57" s="161"/>
    </row>
    <row r="58" spans="2:25" x14ac:dyDescent="0.25">
      <c r="B58" s="177"/>
      <c r="Y58" s="161"/>
    </row>
    <row r="59" spans="2:25" x14ac:dyDescent="0.25">
      <c r="B59" s="177"/>
      <c r="Q59" s="201" t="s">
        <v>234</v>
      </c>
      <c r="R59" s="202" t="s">
        <v>235</v>
      </c>
      <c r="S59" s="201" t="s">
        <v>43</v>
      </c>
      <c r="Y59" s="161"/>
    </row>
    <row r="60" spans="2:25" x14ac:dyDescent="0.25">
      <c r="B60" s="177"/>
      <c r="Q60" s="203" t="s">
        <v>226</v>
      </c>
      <c r="R60" s="204">
        <v>0.3</v>
      </c>
      <c r="S60" s="203" t="s">
        <v>236</v>
      </c>
      <c r="Y60" s="161"/>
    </row>
    <row r="61" spans="2:25" x14ac:dyDescent="0.25">
      <c r="B61" s="177"/>
      <c r="Q61" s="203" t="s">
        <v>227</v>
      </c>
      <c r="R61" s="204">
        <v>0.15</v>
      </c>
      <c r="S61" s="203" t="s">
        <v>237</v>
      </c>
      <c r="Y61" s="161"/>
    </row>
    <row r="62" spans="2:25" x14ac:dyDescent="0.25">
      <c r="B62" s="177"/>
      <c r="Q62" s="203" t="s">
        <v>228</v>
      </c>
      <c r="R62" s="188">
        <v>4.53</v>
      </c>
      <c r="S62" s="203" t="s">
        <v>238</v>
      </c>
      <c r="Y62" s="161"/>
    </row>
    <row r="63" spans="2:25" x14ac:dyDescent="0.25">
      <c r="B63" s="177"/>
      <c r="Q63" s="203" t="s">
        <v>229</v>
      </c>
      <c r="R63" s="188">
        <v>1.77</v>
      </c>
      <c r="S63" s="203" t="s">
        <v>238</v>
      </c>
      <c r="Y63" s="161"/>
    </row>
    <row r="64" spans="2:25" x14ac:dyDescent="0.25">
      <c r="B64" s="177"/>
      <c r="Q64" s="203" t="s">
        <v>239</v>
      </c>
      <c r="R64" s="188">
        <v>3.13</v>
      </c>
      <c r="S64" s="203" t="s">
        <v>240</v>
      </c>
      <c r="Y64" s="161"/>
    </row>
    <row r="65" spans="2:25" x14ac:dyDescent="0.25">
      <c r="B65" s="177"/>
      <c r="Y65" s="161"/>
    </row>
    <row r="66" spans="2:25" x14ac:dyDescent="0.25">
      <c r="B66" s="177"/>
      <c r="Y66" s="161"/>
    </row>
    <row r="67" spans="2:25" x14ac:dyDescent="0.25">
      <c r="B67" s="177"/>
      <c r="Y67" s="161"/>
    </row>
    <row r="68" spans="2:25" x14ac:dyDescent="0.25">
      <c r="B68" s="179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1"/>
    </row>
    <row r="77" spans="2:25" x14ac:dyDescent="0.25">
      <c r="B77" s="180" t="s">
        <v>241</v>
      </c>
      <c r="C77" s="180"/>
      <c r="D77" s="180"/>
      <c r="E77" s="180"/>
      <c r="F77" s="180"/>
      <c r="G77" s="180"/>
      <c r="H77" s="180"/>
      <c r="I77" s="180"/>
      <c r="J77" s="180"/>
      <c r="K77" s="180"/>
    </row>
    <row r="80" spans="2:25" x14ac:dyDescent="0.25">
      <c r="I80" s="205" t="s">
        <v>242</v>
      </c>
      <c r="J80" s="205" t="s">
        <v>243</v>
      </c>
    </row>
    <row r="81" spans="9:10" x14ac:dyDescent="0.25">
      <c r="I81" s="205" t="s">
        <v>244</v>
      </c>
      <c r="J81" s="206">
        <v>3.0000000000000001E-6</v>
      </c>
    </row>
    <row r="82" spans="9:10" x14ac:dyDescent="0.25">
      <c r="I82" s="205" t="s">
        <v>245</v>
      </c>
      <c r="J82" s="206">
        <v>1.4999999999999999E-4</v>
      </c>
    </row>
    <row r="83" spans="9:10" x14ac:dyDescent="0.25">
      <c r="I83" s="205" t="s">
        <v>246</v>
      </c>
      <c r="J83" s="206">
        <v>2E-3</v>
      </c>
    </row>
    <row r="84" spans="9:10" x14ac:dyDescent="0.25">
      <c r="I84" s="205" t="s">
        <v>247</v>
      </c>
      <c r="J84" s="206">
        <v>0.5</v>
      </c>
    </row>
    <row r="85" spans="9:10" x14ac:dyDescent="0.25">
      <c r="I85" s="205" t="s">
        <v>248</v>
      </c>
      <c r="J85" s="206">
        <v>0.99950000000000006</v>
      </c>
    </row>
  </sheetData>
  <mergeCells count="10">
    <mergeCell ref="U54:V54"/>
    <mergeCell ref="W54:Y54"/>
    <mergeCell ref="U55:V55"/>
    <mergeCell ref="W55:Y55"/>
    <mergeCell ref="Q50:W50"/>
    <mergeCell ref="Q51:Y51"/>
    <mergeCell ref="U52:V52"/>
    <mergeCell ref="W52:Y52"/>
    <mergeCell ref="U53:V53"/>
    <mergeCell ref="W53:Y5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21B7-BC77-4E5A-B737-513AAF1E0EE5}">
  <sheetPr codeName="Sheet1"/>
  <dimension ref="C1:E2"/>
  <sheetViews>
    <sheetView workbookViewId="0"/>
  </sheetViews>
  <sheetFormatPr defaultRowHeight="12.75" x14ac:dyDescent="0.2"/>
  <cols>
    <col min="3" max="3" width="76.42578125" customWidth="1"/>
    <col min="5" max="5" width="9.28515625" bestFit="1" customWidth="1"/>
  </cols>
  <sheetData>
    <row r="1" spans="3:5" x14ac:dyDescent="0.2">
      <c r="C1" s="1" t="s">
        <v>15</v>
      </c>
      <c r="D1" s="1" t="s">
        <v>531</v>
      </c>
      <c r="E1" s="1" t="s">
        <v>349</v>
      </c>
    </row>
    <row r="2" spans="3:5" x14ac:dyDescent="0.2">
      <c r="C2" s="305" t="s">
        <v>558</v>
      </c>
      <c r="D2" s="92" t="s">
        <v>557</v>
      </c>
      <c r="E2" s="315" t="s">
        <v>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4F0B-A485-4D5A-822B-74959A562279}">
  <sheetPr codeName="Sheet23"/>
  <dimension ref="B2:S71"/>
  <sheetViews>
    <sheetView workbookViewId="0"/>
  </sheetViews>
  <sheetFormatPr defaultColWidth="8.85546875" defaultRowHeight="15" x14ac:dyDescent="0.25"/>
  <cols>
    <col min="1" max="1" width="8.85546875" style="154"/>
    <col min="2" max="2" width="13.7109375" style="154" customWidth="1"/>
    <col min="3" max="3" width="40.85546875" style="154" customWidth="1"/>
    <col min="4" max="4" width="14.28515625" style="154" bestFit="1" customWidth="1"/>
    <col min="5" max="5" width="16.85546875" style="154" customWidth="1"/>
    <col min="6" max="6" width="16" style="154" bestFit="1" customWidth="1"/>
    <col min="7" max="7" width="13.7109375" style="154" customWidth="1"/>
    <col min="8" max="13" width="8.85546875" style="154"/>
    <col min="14" max="14" width="11.7109375" style="154" bestFit="1" customWidth="1"/>
    <col min="15" max="15" width="16.85546875" style="154" bestFit="1" customWidth="1"/>
    <col min="16" max="16384" width="8.85546875" style="154"/>
  </cols>
  <sheetData>
    <row r="2" spans="2:16" x14ac:dyDescent="0.25">
      <c r="C2" s="153" t="s">
        <v>249</v>
      </c>
      <c r="D2" s="153"/>
      <c r="E2" s="153"/>
      <c r="F2" s="153" t="s">
        <v>250</v>
      </c>
    </row>
    <row r="3" spans="2:16" ht="18.75" x14ac:dyDescent="0.25">
      <c r="C3" s="154" t="s">
        <v>251</v>
      </c>
      <c r="F3" s="207" t="s">
        <v>252</v>
      </c>
      <c r="H3" s="154" t="s">
        <v>253</v>
      </c>
    </row>
    <row r="4" spans="2:16" ht="18.75" x14ac:dyDescent="0.25">
      <c r="C4" s="154" t="s">
        <v>254</v>
      </c>
      <c r="F4" s="207" t="s">
        <v>255</v>
      </c>
    </row>
    <row r="9" spans="2:16" x14ac:dyDescent="0.25">
      <c r="B9" s="153" t="s">
        <v>256</v>
      </c>
    </row>
    <row r="10" spans="2:16" x14ac:dyDescent="0.25">
      <c r="B10" s="182"/>
      <c r="C10" s="156"/>
      <c r="D10" s="156"/>
      <c r="E10" s="156"/>
      <c r="F10" s="156"/>
      <c r="G10" s="156"/>
      <c r="H10" s="156"/>
      <c r="I10" s="157"/>
    </row>
    <row r="11" spans="2:16" x14ac:dyDescent="0.25">
      <c r="B11" s="177"/>
      <c r="D11" s="208" t="s">
        <v>257</v>
      </c>
      <c r="E11" s="208" t="s">
        <v>258</v>
      </c>
      <c r="F11" s="208" t="s">
        <v>259</v>
      </c>
      <c r="G11" s="208" t="s">
        <v>260</v>
      </c>
      <c r="I11" s="161"/>
      <c r="N11" s="154">
        <v>2016</v>
      </c>
      <c r="O11" s="154">
        <v>2017</v>
      </c>
    </row>
    <row r="12" spans="2:16" x14ac:dyDescent="0.25">
      <c r="B12" s="177">
        <v>2016</v>
      </c>
      <c r="C12" s="209" t="s">
        <v>261</v>
      </c>
      <c r="D12" s="208">
        <v>863035304</v>
      </c>
      <c r="E12" s="208">
        <v>967878764</v>
      </c>
      <c r="F12" s="208">
        <v>929673728</v>
      </c>
      <c r="G12" s="208">
        <v>956038426</v>
      </c>
      <c r="I12" s="161"/>
      <c r="M12" s="154" t="s">
        <v>262</v>
      </c>
      <c r="N12" s="210">
        <f>D12*3.6/1000000000</f>
        <v>3.1069270944</v>
      </c>
      <c r="O12" s="210">
        <f>D14*3.6/1000000000</f>
        <v>3.0410626572000004</v>
      </c>
      <c r="P12" s="154" t="s">
        <v>117</v>
      </c>
    </row>
    <row r="13" spans="2:16" x14ac:dyDescent="0.25">
      <c r="B13" s="177">
        <v>2016</v>
      </c>
      <c r="C13" s="209" t="s">
        <v>263</v>
      </c>
      <c r="D13" s="208">
        <v>77151379</v>
      </c>
      <c r="E13" s="208">
        <v>70689988</v>
      </c>
      <c r="F13" s="208">
        <v>74940175</v>
      </c>
      <c r="G13" s="208">
        <v>81060692</v>
      </c>
      <c r="I13" s="161"/>
      <c r="M13" s="154" t="s">
        <v>229</v>
      </c>
      <c r="N13" s="210">
        <f>D13*3.6/1000000000</f>
        <v>0.27774496440000002</v>
      </c>
      <c r="O13" s="210">
        <f>D15*3.6/1000000000</f>
        <v>0.29322263879999999</v>
      </c>
      <c r="P13" s="154" t="s">
        <v>117</v>
      </c>
    </row>
    <row r="14" spans="2:16" x14ac:dyDescent="0.25">
      <c r="B14" s="177">
        <v>2017</v>
      </c>
      <c r="C14" s="209" t="s">
        <v>261</v>
      </c>
      <c r="D14" s="208">
        <v>844739627</v>
      </c>
      <c r="I14" s="161"/>
      <c r="O14" s="210">
        <f>SUM(O12:O13)</f>
        <v>3.3342852960000005</v>
      </c>
    </row>
    <row r="15" spans="2:16" x14ac:dyDescent="0.25">
      <c r="B15" s="179">
        <v>2017</v>
      </c>
      <c r="C15" s="180" t="s">
        <v>263</v>
      </c>
      <c r="D15" s="211">
        <v>81450733</v>
      </c>
      <c r="E15" s="180"/>
      <c r="F15" s="180"/>
      <c r="G15" s="180"/>
      <c r="H15" s="180"/>
      <c r="I15" s="181"/>
    </row>
    <row r="21" spans="2:11" x14ac:dyDescent="0.25">
      <c r="B21" s="154" t="s">
        <v>223</v>
      </c>
    </row>
    <row r="22" spans="2:11" x14ac:dyDescent="0.25">
      <c r="B22" s="182"/>
      <c r="C22" s="156"/>
      <c r="D22" s="156"/>
      <c r="E22" s="156"/>
      <c r="F22" s="156"/>
      <c r="G22" s="156"/>
      <c r="H22" s="156"/>
      <c r="I22" s="156"/>
      <c r="J22" s="156"/>
      <c r="K22" s="157"/>
    </row>
    <row r="23" spans="2:11" x14ac:dyDescent="0.25">
      <c r="B23" s="177"/>
      <c r="C23" s="153" t="s">
        <v>224</v>
      </c>
      <c r="K23" s="161"/>
    </row>
    <row r="24" spans="2:11" x14ac:dyDescent="0.25">
      <c r="B24" s="177"/>
      <c r="K24" s="161"/>
    </row>
    <row r="25" spans="2:11" ht="60" x14ac:dyDescent="0.25">
      <c r="B25" s="177"/>
      <c r="C25" s="190" t="s">
        <v>225</v>
      </c>
      <c r="D25" s="191" t="s">
        <v>226</v>
      </c>
      <c r="E25" s="191" t="s">
        <v>227</v>
      </c>
      <c r="F25" s="191" t="s">
        <v>228</v>
      </c>
      <c r="G25" s="192" t="s">
        <v>229</v>
      </c>
      <c r="I25" s="192" t="s">
        <v>230</v>
      </c>
      <c r="K25" s="161"/>
    </row>
    <row r="26" spans="2:11" x14ac:dyDescent="0.25">
      <c r="B26" s="177"/>
      <c r="C26" s="347"/>
      <c r="D26" s="347"/>
      <c r="E26" s="347"/>
      <c r="F26" s="347"/>
      <c r="G26" s="347"/>
      <c r="H26" s="347"/>
      <c r="I26" s="347"/>
      <c r="K26" s="161"/>
    </row>
    <row r="27" spans="2:11" x14ac:dyDescent="0.25">
      <c r="B27" s="177"/>
      <c r="C27" s="347"/>
      <c r="D27" s="347"/>
      <c r="E27" s="347"/>
      <c r="F27" s="347"/>
      <c r="G27" s="347"/>
      <c r="H27" s="347"/>
      <c r="I27" s="347"/>
      <c r="J27" s="347"/>
      <c r="K27" s="348"/>
    </row>
    <row r="28" spans="2:11" x14ac:dyDescent="0.25">
      <c r="B28" s="177"/>
      <c r="C28" s="193" t="s">
        <v>178</v>
      </c>
      <c r="D28" s="194">
        <v>0.82899999999999996</v>
      </c>
      <c r="E28" s="194">
        <v>0.998</v>
      </c>
      <c r="F28" s="194">
        <v>0.71299999999999997</v>
      </c>
      <c r="G28" s="349">
        <v>0.34</v>
      </c>
      <c r="H28" s="350"/>
      <c r="I28" s="349">
        <v>0.21</v>
      </c>
      <c r="J28" s="351"/>
      <c r="K28" s="352"/>
    </row>
    <row r="29" spans="2:11" x14ac:dyDescent="0.25">
      <c r="B29" s="177"/>
      <c r="C29" s="195" t="s">
        <v>143</v>
      </c>
      <c r="D29" s="196" t="s">
        <v>231</v>
      </c>
      <c r="E29" s="196" t="s">
        <v>231</v>
      </c>
      <c r="F29" s="197">
        <v>0.252</v>
      </c>
      <c r="G29" s="353">
        <v>0.64100000000000001</v>
      </c>
      <c r="H29" s="354"/>
      <c r="I29" s="353">
        <v>0.78</v>
      </c>
      <c r="J29" s="355"/>
      <c r="K29" s="356"/>
    </row>
    <row r="30" spans="2:11" x14ac:dyDescent="0.25">
      <c r="B30" s="177"/>
      <c r="C30" s="195" t="s">
        <v>232</v>
      </c>
      <c r="D30" s="197">
        <v>0.17100000000000001</v>
      </c>
      <c r="E30" s="196" t="s">
        <v>231</v>
      </c>
      <c r="F30" s="198">
        <v>2.99E-3</v>
      </c>
      <c r="G30" s="339">
        <v>1.9099999999999999E-2</v>
      </c>
      <c r="H30" s="340"/>
      <c r="I30" s="339">
        <v>0.01</v>
      </c>
      <c r="J30" s="341"/>
      <c r="K30" s="342"/>
    </row>
    <row r="31" spans="2:11" x14ac:dyDescent="0.25">
      <c r="B31" s="177"/>
      <c r="C31" s="195" t="s">
        <v>179</v>
      </c>
      <c r="D31" s="196" t="s">
        <v>231</v>
      </c>
      <c r="E31" s="198">
        <v>1.7700000000000001E-3</v>
      </c>
      <c r="F31" s="199">
        <v>3.1300000000000001E-2</v>
      </c>
      <c r="G31" s="343" t="s">
        <v>231</v>
      </c>
      <c r="H31" s="344"/>
      <c r="I31" s="343" t="s">
        <v>231</v>
      </c>
      <c r="J31" s="345"/>
      <c r="K31" s="346"/>
    </row>
    <row r="32" spans="2:11" x14ac:dyDescent="0.25">
      <c r="B32" s="177"/>
      <c r="K32" s="161"/>
    </row>
    <row r="33" spans="2:19" ht="15.75" x14ac:dyDescent="0.25">
      <c r="B33" s="177"/>
      <c r="C33" s="200" t="s">
        <v>233</v>
      </c>
      <c r="K33" s="161"/>
    </row>
    <row r="34" spans="2:19" x14ac:dyDescent="0.25">
      <c r="B34" s="177"/>
      <c r="K34" s="161"/>
    </row>
    <row r="35" spans="2:19" x14ac:dyDescent="0.25">
      <c r="B35" s="177"/>
      <c r="C35" s="201" t="s">
        <v>234</v>
      </c>
      <c r="D35" s="202" t="s">
        <v>235</v>
      </c>
      <c r="E35" s="201" t="s">
        <v>43</v>
      </c>
      <c r="K35" s="161"/>
    </row>
    <row r="36" spans="2:19" x14ac:dyDescent="0.25">
      <c r="B36" s="177"/>
      <c r="C36" s="203" t="s">
        <v>226</v>
      </c>
      <c r="D36" s="204">
        <v>0.3</v>
      </c>
      <c r="E36" s="203" t="s">
        <v>236</v>
      </c>
      <c r="K36" s="161"/>
    </row>
    <row r="37" spans="2:19" x14ac:dyDescent="0.25">
      <c r="B37" s="177"/>
      <c r="C37" s="203" t="s">
        <v>227</v>
      </c>
      <c r="D37" s="204">
        <v>0.15</v>
      </c>
      <c r="E37" s="203" t="s">
        <v>237</v>
      </c>
      <c r="K37" s="161"/>
    </row>
    <row r="38" spans="2:19" x14ac:dyDescent="0.25">
      <c r="B38" s="177"/>
      <c r="C38" s="203" t="s">
        <v>228</v>
      </c>
      <c r="D38" s="188">
        <v>4.53</v>
      </c>
      <c r="E38" s="203" t="s">
        <v>238</v>
      </c>
      <c r="K38" s="161"/>
    </row>
    <row r="39" spans="2:19" x14ac:dyDescent="0.25">
      <c r="B39" s="177"/>
      <c r="C39" s="203" t="s">
        <v>229</v>
      </c>
      <c r="D39" s="188">
        <v>1.77</v>
      </c>
      <c r="E39" s="203" t="s">
        <v>238</v>
      </c>
      <c r="K39" s="161"/>
    </row>
    <row r="40" spans="2:19" x14ac:dyDescent="0.25">
      <c r="B40" s="177"/>
      <c r="C40" s="203" t="s">
        <v>239</v>
      </c>
      <c r="D40" s="188">
        <v>3.13</v>
      </c>
      <c r="E40" s="203" t="s">
        <v>240</v>
      </c>
      <c r="K40" s="161"/>
    </row>
    <row r="41" spans="2:19" x14ac:dyDescent="0.25">
      <c r="B41" s="177"/>
      <c r="K41" s="161"/>
    </row>
    <row r="42" spans="2:19" ht="15.75" x14ac:dyDescent="0.25">
      <c r="B42" s="179"/>
      <c r="C42" s="180"/>
      <c r="D42" s="180"/>
      <c r="E42" s="180"/>
      <c r="F42" s="180"/>
      <c r="G42" s="180"/>
      <c r="H42" s="180"/>
      <c r="I42" s="180"/>
      <c r="J42" s="180"/>
      <c r="K42" s="181"/>
      <c r="P42" s="212">
        <v>277777777.77778</v>
      </c>
    </row>
    <row r="45" spans="2:19" x14ac:dyDescent="0.25">
      <c r="C45" s="154" t="s">
        <v>264</v>
      </c>
      <c r="N45" s="154" t="s">
        <v>265</v>
      </c>
    </row>
    <row r="46" spans="2:19" x14ac:dyDescent="0.25">
      <c r="C46" s="182" t="s">
        <v>266</v>
      </c>
      <c r="D46" s="156"/>
      <c r="E46" s="156"/>
      <c r="F46" s="156"/>
      <c r="G46" s="156"/>
      <c r="H46" s="156"/>
      <c r="I46" s="156"/>
      <c r="J46" s="156"/>
      <c r="K46" s="157"/>
      <c r="N46" s="213"/>
      <c r="O46" s="213" t="s">
        <v>267</v>
      </c>
      <c r="P46" s="213" t="s">
        <v>117</v>
      </c>
    </row>
    <row r="47" spans="2:19" x14ac:dyDescent="0.25">
      <c r="C47" s="214"/>
      <c r="D47" s="208" t="s">
        <v>257</v>
      </c>
      <c r="E47" s="208" t="s">
        <v>258</v>
      </c>
      <c r="F47" s="208" t="s">
        <v>259</v>
      </c>
      <c r="G47" s="208" t="s">
        <v>260</v>
      </c>
      <c r="K47" s="161"/>
      <c r="N47" s="213" t="s">
        <v>268</v>
      </c>
      <c r="O47" s="215">
        <f>SUM(D48:D64)</f>
        <v>2413339600.237287</v>
      </c>
      <c r="P47" s="216">
        <f>O47/$P$42</f>
        <v>8.6880225608541632</v>
      </c>
    </row>
    <row r="48" spans="2:19" x14ac:dyDescent="0.25">
      <c r="C48" s="217" t="s">
        <v>269</v>
      </c>
      <c r="D48" s="208">
        <v>290958558.63728684</v>
      </c>
      <c r="E48" s="208">
        <v>307300126.21666473</v>
      </c>
      <c r="F48" s="208">
        <v>300404853.85631663</v>
      </c>
      <c r="G48" s="208">
        <v>300811071</v>
      </c>
      <c r="K48" s="161"/>
      <c r="L48" s="154" t="s">
        <v>143</v>
      </c>
      <c r="N48" s="213" t="s">
        <v>270</v>
      </c>
      <c r="O48" s="218">
        <f>SUMIFS($D$48:$D$64,$L$48:$L$64,S48)</f>
        <v>290958558.63728684</v>
      </c>
      <c r="P48" s="216">
        <f>O48/$P$42</f>
        <v>1.0474508110942242</v>
      </c>
      <c r="S48" s="154" t="s">
        <v>143</v>
      </c>
    </row>
    <row r="49" spans="3:19" x14ac:dyDescent="0.25">
      <c r="C49" s="217" t="s">
        <v>271</v>
      </c>
      <c r="D49" s="208">
        <v>942148435</v>
      </c>
      <c r="E49" s="208">
        <v>940526069</v>
      </c>
      <c r="F49" s="208">
        <v>946923701</v>
      </c>
      <c r="G49" s="208">
        <v>912788983</v>
      </c>
      <c r="K49" s="161"/>
      <c r="L49" s="154" t="s">
        <v>272</v>
      </c>
      <c r="N49" s="213" t="s">
        <v>273</v>
      </c>
      <c r="O49" s="218">
        <f>SUMIFS($D$48:$D$64,$L$48:$L$64,S49)</f>
        <v>863035304</v>
      </c>
      <c r="P49" s="216">
        <f>O49/$P$42</f>
        <v>3.1069270943999752</v>
      </c>
      <c r="S49" s="154" t="s">
        <v>273</v>
      </c>
    </row>
    <row r="50" spans="3:19" x14ac:dyDescent="0.25">
      <c r="C50" s="217" t="s">
        <v>274</v>
      </c>
      <c r="D50" s="208">
        <v>58784544</v>
      </c>
      <c r="E50" s="208">
        <v>59558914</v>
      </c>
      <c r="F50" s="208">
        <v>59049206</v>
      </c>
      <c r="G50" s="208">
        <v>58832346</v>
      </c>
      <c r="K50" s="161"/>
      <c r="L50" s="154" t="s">
        <v>272</v>
      </c>
      <c r="N50" s="213" t="s">
        <v>275</v>
      </c>
      <c r="O50" s="218">
        <f>SUMIFS($D$48:$D$64,$L$48:$L$64,S50)</f>
        <v>1259345737.5999999</v>
      </c>
      <c r="P50" s="216">
        <f>O50/$P$42</f>
        <v>4.5336446553599634</v>
      </c>
      <c r="S50" s="154" t="s">
        <v>272</v>
      </c>
    </row>
    <row r="51" spans="3:19" x14ac:dyDescent="0.25">
      <c r="C51" s="217" t="s">
        <v>276</v>
      </c>
      <c r="D51" s="208">
        <v>31486182</v>
      </c>
      <c r="E51" s="208">
        <v>39590433</v>
      </c>
      <c r="F51" s="208">
        <v>37837112</v>
      </c>
      <c r="G51" s="208">
        <v>40365514</v>
      </c>
      <c r="K51" s="161"/>
      <c r="L51" s="154" t="s">
        <v>272</v>
      </c>
    </row>
    <row r="52" spans="3:19" x14ac:dyDescent="0.25">
      <c r="C52" s="217" t="s">
        <v>277</v>
      </c>
      <c r="D52" s="208">
        <v>34320667</v>
      </c>
      <c r="E52" s="208">
        <v>53727308</v>
      </c>
      <c r="F52" s="208">
        <v>50108407</v>
      </c>
      <c r="G52" s="208">
        <v>48374517</v>
      </c>
      <c r="K52" s="161"/>
      <c r="L52" s="154" t="s">
        <v>272</v>
      </c>
    </row>
    <row r="53" spans="3:19" x14ac:dyDescent="0.25">
      <c r="C53" s="217" t="s">
        <v>278</v>
      </c>
      <c r="D53" s="208">
        <v>10363943</v>
      </c>
      <c r="E53" s="208">
        <v>13315404</v>
      </c>
      <c r="F53" s="208">
        <v>13850195</v>
      </c>
      <c r="G53" s="208">
        <v>13388812</v>
      </c>
      <c r="K53" s="161"/>
      <c r="L53" s="154" t="s">
        <v>272</v>
      </c>
    </row>
    <row r="54" spans="3:19" x14ac:dyDescent="0.25">
      <c r="C54" s="217" t="s">
        <v>261</v>
      </c>
      <c r="D54" s="208">
        <v>863035304</v>
      </c>
      <c r="E54" s="208">
        <v>967878764</v>
      </c>
      <c r="F54" s="208">
        <v>929673728</v>
      </c>
      <c r="G54" s="208">
        <v>956038426</v>
      </c>
      <c r="K54" s="161"/>
      <c r="L54" s="154" t="s">
        <v>273</v>
      </c>
    </row>
    <row r="55" spans="3:19" x14ac:dyDescent="0.25">
      <c r="C55" s="217" t="s">
        <v>279</v>
      </c>
      <c r="D55" s="208">
        <v>48766283</v>
      </c>
      <c r="E55" s="208">
        <v>50577412</v>
      </c>
      <c r="F55" s="208">
        <v>48372115</v>
      </c>
      <c r="G55" s="208">
        <v>49344049</v>
      </c>
      <c r="K55" s="161"/>
      <c r="L55" s="154" t="s">
        <v>272</v>
      </c>
    </row>
    <row r="56" spans="3:19" x14ac:dyDescent="0.25">
      <c r="C56" s="217" t="s">
        <v>280</v>
      </c>
      <c r="D56" s="208">
        <v>655170</v>
      </c>
      <c r="E56" s="208">
        <v>1325639</v>
      </c>
      <c r="F56" s="208">
        <v>1266372</v>
      </c>
      <c r="G56" s="208">
        <v>1410950</v>
      </c>
      <c r="K56" s="161"/>
      <c r="L56" s="154" t="s">
        <v>272</v>
      </c>
    </row>
    <row r="57" spans="3:19" x14ac:dyDescent="0.25">
      <c r="C57" s="217" t="s">
        <v>281</v>
      </c>
      <c r="D57" s="208">
        <v>16637826</v>
      </c>
      <c r="E57" s="208">
        <v>15000837</v>
      </c>
      <c r="F57" s="208">
        <v>18411136</v>
      </c>
      <c r="G57" s="208">
        <v>17394938</v>
      </c>
      <c r="K57" s="161"/>
      <c r="L57" s="154" t="s">
        <v>272</v>
      </c>
    </row>
    <row r="58" spans="3:19" x14ac:dyDescent="0.25">
      <c r="C58" s="217" t="s">
        <v>282</v>
      </c>
      <c r="D58" s="208">
        <v>5977601</v>
      </c>
      <c r="E58" s="208">
        <v>10768248</v>
      </c>
      <c r="F58" s="208">
        <v>10013225</v>
      </c>
      <c r="G58" s="208">
        <v>10151367</v>
      </c>
      <c r="K58" s="161"/>
      <c r="L58" s="154" t="s">
        <v>272</v>
      </c>
    </row>
    <row r="59" spans="3:19" x14ac:dyDescent="0.25">
      <c r="C59" s="217" t="s">
        <v>283</v>
      </c>
      <c r="D59" s="208">
        <v>71912357.599999994</v>
      </c>
      <c r="E59" s="208">
        <v>71645252</v>
      </c>
      <c r="F59" s="208">
        <v>74266196</v>
      </c>
      <c r="G59" s="208">
        <v>76749795</v>
      </c>
      <c r="K59" s="161"/>
      <c r="L59" s="154" t="s">
        <v>272</v>
      </c>
    </row>
    <row r="60" spans="3:19" x14ac:dyDescent="0.25">
      <c r="C60" s="217" t="s">
        <v>284</v>
      </c>
      <c r="D60" s="208">
        <v>282526</v>
      </c>
      <c r="E60" s="208">
        <v>376025</v>
      </c>
      <c r="F60" s="208">
        <v>306719</v>
      </c>
      <c r="G60" s="208">
        <v>452546</v>
      </c>
      <c r="K60" s="161"/>
      <c r="L60" s="154" t="s">
        <v>272</v>
      </c>
    </row>
    <row r="61" spans="3:19" x14ac:dyDescent="0.25">
      <c r="C61" s="217" t="s">
        <v>285</v>
      </c>
      <c r="D61" s="208">
        <v>4997806</v>
      </c>
      <c r="E61" s="208">
        <v>5769662</v>
      </c>
      <c r="F61" s="208">
        <v>6194621</v>
      </c>
      <c r="G61" s="208">
        <v>6228754</v>
      </c>
      <c r="K61" s="161"/>
      <c r="L61" s="154" t="s">
        <v>272</v>
      </c>
    </row>
    <row r="62" spans="3:19" x14ac:dyDescent="0.25">
      <c r="C62" s="217" t="s">
        <v>286</v>
      </c>
      <c r="D62" s="208">
        <v>3065886</v>
      </c>
      <c r="E62" s="208">
        <v>3498255</v>
      </c>
      <c r="F62" s="208">
        <v>2528054</v>
      </c>
      <c r="G62" s="208">
        <v>2988641</v>
      </c>
      <c r="K62" s="161"/>
      <c r="L62" s="154" t="s">
        <v>272</v>
      </c>
    </row>
    <row r="63" spans="3:19" x14ac:dyDescent="0.25">
      <c r="C63" s="217" t="s">
        <v>287</v>
      </c>
      <c r="D63" s="208">
        <v>29134952</v>
      </c>
      <c r="E63" s="208">
        <v>28663927</v>
      </c>
      <c r="F63" s="208">
        <v>30973663</v>
      </c>
      <c r="G63" s="208">
        <v>31624878</v>
      </c>
      <c r="K63" s="161"/>
      <c r="L63" s="154" t="s">
        <v>272</v>
      </c>
    </row>
    <row r="64" spans="3:19" x14ac:dyDescent="0.25">
      <c r="C64" s="217" t="s">
        <v>288</v>
      </c>
      <c r="D64" s="208">
        <v>811559</v>
      </c>
      <c r="E64" s="208">
        <v>791226</v>
      </c>
      <c r="F64" s="208">
        <v>691350</v>
      </c>
      <c r="G64" s="208">
        <v>795809</v>
      </c>
      <c r="K64" s="161"/>
      <c r="L64" s="154" t="s">
        <v>272</v>
      </c>
    </row>
    <row r="65" spans="3:11" x14ac:dyDescent="0.25">
      <c r="C65" s="177"/>
      <c r="K65" s="161"/>
    </row>
    <row r="66" spans="3:11" x14ac:dyDescent="0.25">
      <c r="C66" s="177"/>
      <c r="K66" s="161"/>
    </row>
    <row r="67" spans="3:11" x14ac:dyDescent="0.25">
      <c r="C67" s="214"/>
      <c r="D67" s="208" t="s">
        <v>257</v>
      </c>
      <c r="E67" s="208" t="s">
        <v>258</v>
      </c>
      <c r="F67" s="208" t="s">
        <v>259</v>
      </c>
      <c r="G67" s="208" t="s">
        <v>260</v>
      </c>
      <c r="K67" s="161"/>
    </row>
    <row r="68" spans="3:11" x14ac:dyDescent="0.25">
      <c r="C68" s="217" t="s">
        <v>263</v>
      </c>
      <c r="D68" s="208">
        <v>77151379</v>
      </c>
      <c r="E68" s="208">
        <v>70689988</v>
      </c>
      <c r="F68" s="208">
        <v>74940175</v>
      </c>
      <c r="G68" s="208">
        <v>81060692</v>
      </c>
      <c r="K68" s="161"/>
    </row>
    <row r="69" spans="3:11" x14ac:dyDescent="0.25">
      <c r="C69" s="217" t="s">
        <v>289</v>
      </c>
      <c r="D69" s="208">
        <v>40561</v>
      </c>
      <c r="E69" s="208">
        <v>48254</v>
      </c>
      <c r="F69" s="208">
        <v>45347</v>
      </c>
      <c r="G69" s="208">
        <v>45369</v>
      </c>
      <c r="K69" s="161"/>
    </row>
    <row r="70" spans="3:11" x14ac:dyDescent="0.25">
      <c r="C70" s="177"/>
      <c r="K70" s="161"/>
    </row>
    <row r="71" spans="3:11" x14ac:dyDescent="0.25">
      <c r="C71" s="179"/>
      <c r="D71" s="180"/>
      <c r="E71" s="180"/>
      <c r="F71" s="180"/>
      <c r="G71" s="180"/>
      <c r="H71" s="180"/>
      <c r="I71" s="180"/>
      <c r="J71" s="180"/>
      <c r="K71" s="181"/>
    </row>
  </sheetData>
  <mergeCells count="10">
    <mergeCell ref="G30:H30"/>
    <mergeCell ref="I30:K30"/>
    <mergeCell ref="G31:H31"/>
    <mergeCell ref="I31:K31"/>
    <mergeCell ref="C26:I26"/>
    <mergeCell ref="C27:K27"/>
    <mergeCell ref="G28:H28"/>
    <mergeCell ref="I28:K28"/>
    <mergeCell ref="G29:H29"/>
    <mergeCell ref="I29:K29"/>
  </mergeCells>
  <dataValidations count="1">
    <dataValidation type="list" allowBlank="1" showInputMessage="1" sqref="D11:G11 D47:G47 D67:G67" xr:uid="{9BFA345B-410F-46B4-A7A4-63F330269537}">
      <formula1>"..."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8350-17D8-4D5F-86C2-D2FB3973A594}">
  <sheetPr codeName="Sheet24"/>
  <dimension ref="C5:G17"/>
  <sheetViews>
    <sheetView workbookViewId="0"/>
  </sheetViews>
  <sheetFormatPr defaultColWidth="8.85546875" defaultRowHeight="15" x14ac:dyDescent="0.25"/>
  <cols>
    <col min="1" max="16384" width="8.85546875" style="154"/>
  </cols>
  <sheetData>
    <row r="5" spans="3:7" x14ac:dyDescent="0.25">
      <c r="C5" s="357" t="s">
        <v>290</v>
      </c>
      <c r="D5" s="357"/>
      <c r="E5" s="357"/>
      <c r="F5" s="357"/>
      <c r="G5" s="357"/>
    </row>
    <row r="6" spans="3:7" x14ac:dyDescent="0.25">
      <c r="C6" s="205" t="s">
        <v>291</v>
      </c>
      <c r="D6" s="205" t="s">
        <v>292</v>
      </c>
      <c r="E6" s="205" t="s">
        <v>227</v>
      </c>
      <c r="F6" s="205" t="s">
        <v>228</v>
      </c>
      <c r="G6" s="205" t="s">
        <v>229</v>
      </c>
    </row>
    <row r="7" spans="3:7" x14ac:dyDescent="0.25">
      <c r="C7" s="205" t="s">
        <v>293</v>
      </c>
      <c r="D7" s="206">
        <v>0.82912844036697242</v>
      </c>
      <c r="E7" s="206">
        <v>0.99823321554770317</v>
      </c>
      <c r="F7" s="206">
        <v>0.71343283582089556</v>
      </c>
      <c r="G7" s="206">
        <v>0.33969465648854968</v>
      </c>
    </row>
    <row r="8" spans="3:7" x14ac:dyDescent="0.25">
      <c r="C8" s="205" t="s">
        <v>294</v>
      </c>
      <c r="D8" s="219" t="s">
        <v>231</v>
      </c>
      <c r="E8" s="219" t="s">
        <v>231</v>
      </c>
      <c r="F8" s="206">
        <v>0.25223880597014925</v>
      </c>
      <c r="G8" s="206">
        <v>0.6412213740458016</v>
      </c>
    </row>
    <row r="9" spans="3:7" x14ac:dyDescent="0.25">
      <c r="C9" s="205" t="s">
        <v>295</v>
      </c>
      <c r="D9" s="206">
        <v>0.1708715596330275</v>
      </c>
      <c r="E9" s="219" t="s">
        <v>231</v>
      </c>
      <c r="F9" s="206">
        <v>2.9850746268656717E-3</v>
      </c>
      <c r="G9" s="206">
        <v>1.9083969465648859E-2</v>
      </c>
    </row>
    <row r="10" spans="3:7" x14ac:dyDescent="0.25">
      <c r="C10" s="205" t="s">
        <v>296</v>
      </c>
      <c r="D10" s="219" t="s">
        <v>231</v>
      </c>
      <c r="E10" s="206">
        <v>1.7667844522968198E-3</v>
      </c>
      <c r="F10" s="206">
        <v>3.134328358208955E-2</v>
      </c>
      <c r="G10" s="219" t="s">
        <v>231</v>
      </c>
    </row>
    <row r="11" spans="3:7" x14ac:dyDescent="0.25">
      <c r="C11" s="220"/>
      <c r="D11" s="220"/>
      <c r="E11" s="220"/>
      <c r="F11" s="220"/>
      <c r="G11" s="220"/>
    </row>
    <row r="12" spans="3:7" x14ac:dyDescent="0.25">
      <c r="C12" s="357" t="s">
        <v>297</v>
      </c>
      <c r="D12" s="357"/>
      <c r="E12" s="357"/>
      <c r="F12" s="220"/>
      <c r="G12" s="220"/>
    </row>
    <row r="13" spans="3:7" x14ac:dyDescent="0.25">
      <c r="C13" s="205"/>
      <c r="D13" s="205" t="s">
        <v>235</v>
      </c>
      <c r="E13" s="205" t="s">
        <v>43</v>
      </c>
      <c r="F13" s="220"/>
      <c r="G13" s="220"/>
    </row>
    <row r="14" spans="3:7" x14ac:dyDescent="0.25">
      <c r="C14" s="205" t="s">
        <v>226</v>
      </c>
      <c r="D14" s="205">
        <v>0.3</v>
      </c>
      <c r="E14" s="205" t="s">
        <v>236</v>
      </c>
      <c r="F14" s="220"/>
      <c r="G14" s="220"/>
    </row>
    <row r="15" spans="3:7" x14ac:dyDescent="0.25">
      <c r="C15" s="205" t="s">
        <v>227</v>
      </c>
      <c r="D15" s="205">
        <v>0.15</v>
      </c>
      <c r="E15" s="205" t="s">
        <v>237</v>
      </c>
      <c r="F15" s="220"/>
      <c r="G15" s="220"/>
    </row>
    <row r="16" spans="3:7" x14ac:dyDescent="0.25">
      <c r="C16" s="205" t="s">
        <v>228</v>
      </c>
      <c r="D16" s="205">
        <v>4.53</v>
      </c>
      <c r="E16" s="205" t="s">
        <v>238</v>
      </c>
      <c r="F16" s="220"/>
      <c r="G16" s="220"/>
    </row>
    <row r="17" spans="3:7" x14ac:dyDescent="0.25">
      <c r="C17" s="205" t="s">
        <v>229</v>
      </c>
      <c r="D17" s="205">
        <v>1.77</v>
      </c>
      <c r="E17" s="205" t="s">
        <v>238</v>
      </c>
      <c r="F17" s="220"/>
      <c r="G17" s="220"/>
    </row>
  </sheetData>
  <mergeCells count="2">
    <mergeCell ref="C5:G5"/>
    <mergeCell ref="C12:E12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DD5-56F9-4503-BCD2-E8D533BF5B91}">
  <sheetPr codeName="Sheet25"/>
  <dimension ref="A1:AC65"/>
  <sheetViews>
    <sheetView workbookViewId="0"/>
  </sheetViews>
  <sheetFormatPr defaultColWidth="8.85546875" defaultRowHeight="15" x14ac:dyDescent="0.25"/>
  <cols>
    <col min="1" max="16384" width="8.85546875" style="154"/>
  </cols>
  <sheetData>
    <row r="1" spans="1:27" x14ac:dyDescent="0.25">
      <c r="A1" s="154" t="s">
        <v>298</v>
      </c>
      <c r="C1" s="154" t="s">
        <v>299</v>
      </c>
    </row>
    <row r="15" spans="1:27" x14ac:dyDescent="0.25">
      <c r="AA15" s="154" t="s">
        <v>300</v>
      </c>
    </row>
    <row r="16" spans="1:27" x14ac:dyDescent="0.25">
      <c r="V16" s="153" t="s">
        <v>301</v>
      </c>
      <c r="W16" s="153" t="s">
        <v>302</v>
      </c>
      <c r="X16" s="153"/>
      <c r="Y16" s="153" t="s">
        <v>303</v>
      </c>
    </row>
    <row r="17" spans="21:27" x14ac:dyDescent="0.25">
      <c r="U17" s="153" t="s">
        <v>304</v>
      </c>
      <c r="V17" s="221">
        <v>0.372</v>
      </c>
      <c r="W17" s="221">
        <f>1-V17</f>
        <v>0.628</v>
      </c>
      <c r="Y17" s="154">
        <v>255</v>
      </c>
      <c r="AA17" s="154">
        <f>Y17*W17</f>
        <v>160.14000000000001</v>
      </c>
    </row>
    <row r="18" spans="21:27" x14ac:dyDescent="0.25">
      <c r="U18" s="153" t="s">
        <v>305</v>
      </c>
      <c r="V18" s="222">
        <v>0.29099999999999998</v>
      </c>
      <c r="W18" s="221">
        <f>1-V18</f>
        <v>0.70900000000000007</v>
      </c>
      <c r="Y18" s="154">
        <v>168</v>
      </c>
      <c r="AA18" s="154">
        <f>Y18*W18</f>
        <v>119.11200000000001</v>
      </c>
    </row>
    <row r="19" spans="21:27" x14ac:dyDescent="0.25">
      <c r="U19" s="153" t="s">
        <v>221</v>
      </c>
      <c r="V19" s="222">
        <v>7.9000000000000001E-2</v>
      </c>
      <c r="W19" s="221">
        <f>1-V19</f>
        <v>0.92100000000000004</v>
      </c>
      <c r="Y19" s="154">
        <v>226</v>
      </c>
      <c r="AA19" s="154">
        <f>Y19*W19</f>
        <v>208.14600000000002</v>
      </c>
    </row>
    <row r="20" spans="21:27" x14ac:dyDescent="0.25">
      <c r="U20" s="153" t="s">
        <v>306</v>
      </c>
      <c r="V20" s="222">
        <v>0.23599999999999999</v>
      </c>
      <c r="W20" s="221">
        <f>1-V20</f>
        <v>0.76400000000000001</v>
      </c>
      <c r="Y20" s="223">
        <f>AVERAGE(Y17:Y19)</f>
        <v>216.33333333333334</v>
      </c>
      <c r="Z20" s="154" t="s">
        <v>307</v>
      </c>
      <c r="AA20" s="154">
        <f>Y20*W20</f>
        <v>165.27866666666668</v>
      </c>
    </row>
    <row r="22" spans="21:27" x14ac:dyDescent="0.25">
      <c r="Y22" s="154">
        <f>AVERAGE(Y17:Y20)</f>
        <v>216.33333333333334</v>
      </c>
      <c r="AA22" s="154">
        <f>AVERAGE(AA17:AA20)</f>
        <v>163.16916666666668</v>
      </c>
    </row>
    <row r="57" spans="21:29" x14ac:dyDescent="0.25">
      <c r="W57" s="224"/>
      <c r="X57" s="224"/>
      <c r="Y57" s="224"/>
      <c r="Z57" s="224"/>
      <c r="AA57" s="224"/>
    </row>
    <row r="58" spans="21:29" x14ac:dyDescent="0.25">
      <c r="V58" s="154" t="s">
        <v>308</v>
      </c>
      <c r="W58" s="154" t="s">
        <v>309</v>
      </c>
      <c r="X58" s="154" t="s">
        <v>310</v>
      </c>
      <c r="Y58" s="154" t="s">
        <v>311</v>
      </c>
      <c r="Z58" s="154" t="s">
        <v>198</v>
      </c>
      <c r="AA58" s="154" t="s">
        <v>312</v>
      </c>
    </row>
    <row r="59" spans="21:29" x14ac:dyDescent="0.25">
      <c r="U59" s="153" t="s">
        <v>313</v>
      </c>
      <c r="V59" s="153">
        <v>90.13</v>
      </c>
      <c r="W59" s="153">
        <v>163.5</v>
      </c>
      <c r="X59" s="153">
        <v>102.8</v>
      </c>
      <c r="Y59" s="153">
        <v>19.47</v>
      </c>
      <c r="Z59" s="153">
        <v>5</v>
      </c>
      <c r="AA59" s="153">
        <f>SUM(W59:Z59)</f>
        <v>290.77</v>
      </c>
    </row>
    <row r="60" spans="21:29" x14ac:dyDescent="0.25">
      <c r="U60" s="154" t="s">
        <v>314</v>
      </c>
      <c r="V60" s="154">
        <v>2</v>
      </c>
      <c r="W60" s="154">
        <v>2.7759999999999998</v>
      </c>
      <c r="X60" s="154">
        <v>2.3149999999999999</v>
      </c>
      <c r="Y60" s="154">
        <v>0.25</v>
      </c>
      <c r="AA60" s="154">
        <f>SUM(W60:Z60)</f>
        <v>5.3409999999999993</v>
      </c>
    </row>
    <row r="61" spans="21:29" x14ac:dyDescent="0.25">
      <c r="U61" s="154" t="s">
        <v>315</v>
      </c>
      <c r="V61" s="154">
        <v>1</v>
      </c>
      <c r="W61" s="154">
        <v>3.919</v>
      </c>
      <c r="X61" s="154">
        <v>13.17</v>
      </c>
      <c r="AA61" s="154">
        <f>SUM(W61:Z61)</f>
        <v>17.088999999999999</v>
      </c>
    </row>
    <row r="62" spans="21:29" x14ac:dyDescent="0.25">
      <c r="U62" s="154" t="s">
        <v>316</v>
      </c>
      <c r="V62" s="154">
        <v>4.7320000000000002</v>
      </c>
      <c r="W62" s="154">
        <v>0.6</v>
      </c>
      <c r="X62" s="154">
        <v>7.327</v>
      </c>
      <c r="Z62" s="154">
        <v>0.58199999999999996</v>
      </c>
      <c r="AA62" s="154">
        <f>SUM(W62:Z62)</f>
        <v>8.5090000000000003</v>
      </c>
    </row>
    <row r="64" spans="21:29" x14ac:dyDescent="0.25">
      <c r="U64" s="153" t="s">
        <v>317</v>
      </c>
      <c r="V64" s="153">
        <f t="shared" ref="V64:AA64" si="0">V59-SUM(V60:V62)</f>
        <v>82.397999999999996</v>
      </c>
      <c r="W64" s="153">
        <f>W59-SUM(W60:W62)</f>
        <v>156.20500000000001</v>
      </c>
      <c r="X64" s="153">
        <f t="shared" si="0"/>
        <v>79.988</v>
      </c>
      <c r="Y64" s="153">
        <f t="shared" si="0"/>
        <v>19.22</v>
      </c>
      <c r="Z64" s="153">
        <f t="shared" si="0"/>
        <v>4.4180000000000001</v>
      </c>
      <c r="AA64" s="153">
        <f t="shared" si="0"/>
        <v>259.83099999999996</v>
      </c>
      <c r="AC64" s="225">
        <f>AA64/AA59</f>
        <v>0.89359631323726652</v>
      </c>
    </row>
    <row r="65" spans="21:27" x14ac:dyDescent="0.25">
      <c r="U65" s="153"/>
      <c r="V65" s="153"/>
      <c r="W65" s="226">
        <f>W64/$AA$64</f>
        <v>0.60117922803668555</v>
      </c>
      <c r="X65" s="226">
        <f>X64/$AA$64</f>
        <v>0.30784625391119619</v>
      </c>
      <c r="Y65" s="226">
        <f>Y64/$AA$64</f>
        <v>7.3971158175891255E-2</v>
      </c>
      <c r="Z65" s="226">
        <f>Z64/$AA$64</f>
        <v>1.7003359876227243E-2</v>
      </c>
      <c r="AA65" s="15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1959-FA8C-460D-8273-6BE90A393496}">
  <sheetPr codeName="Sheet26"/>
  <dimension ref="D3:P11"/>
  <sheetViews>
    <sheetView workbookViewId="0"/>
  </sheetViews>
  <sheetFormatPr defaultRowHeight="12.75" x14ac:dyDescent="0.2"/>
  <cols>
    <col min="5" max="5" width="13.140625" customWidth="1"/>
  </cols>
  <sheetData>
    <row r="3" spans="4:16" x14ac:dyDescent="0.2">
      <c r="F3">
        <v>12.9</v>
      </c>
      <c r="G3" t="s">
        <v>547</v>
      </c>
    </row>
    <row r="7" spans="4:16" x14ac:dyDescent="0.2">
      <c r="D7" t="s">
        <v>184</v>
      </c>
      <c r="E7" t="s">
        <v>339</v>
      </c>
      <c r="G7">
        <v>38.2376</v>
      </c>
      <c r="H7">
        <v>43.173499999999997</v>
      </c>
      <c r="I7">
        <v>36.427999999999997</v>
      </c>
      <c r="J7">
        <v>44.294600000000003</v>
      </c>
      <c r="K7">
        <v>48.563400000000001</v>
      </c>
    </row>
    <row r="8" spans="4:16" x14ac:dyDescent="0.2">
      <c r="D8" t="s">
        <v>545</v>
      </c>
      <c r="E8" t="s">
        <v>339</v>
      </c>
      <c r="N8">
        <v>114.2076</v>
      </c>
      <c r="O8">
        <v>116.9778</v>
      </c>
      <c r="P8">
        <v>115.4318</v>
      </c>
    </row>
    <row r="10" spans="4:16" x14ac:dyDescent="0.2">
      <c r="E10" t="s">
        <v>548</v>
      </c>
      <c r="G10">
        <f>G7/$F$3</f>
        <v>2.96415503875969</v>
      </c>
      <c r="H10">
        <f t="shared" ref="H10:O10" si="0">H7/$F$3</f>
        <v>3.3467829457364338</v>
      </c>
      <c r="I10">
        <f t="shared" si="0"/>
        <v>2.8238759689922479</v>
      </c>
      <c r="J10">
        <f t="shared" si="0"/>
        <v>3.4336899224806201</v>
      </c>
      <c r="K10">
        <f t="shared" si="0"/>
        <v>3.7646046511627906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>P8/$F$3</f>
        <v>8.948201550387596</v>
      </c>
    </row>
    <row r="11" spans="4:16" x14ac:dyDescent="0.2">
      <c r="E11" t="s">
        <v>546</v>
      </c>
      <c r="G11">
        <f>G10*29</f>
        <v>85.96049612403101</v>
      </c>
      <c r="H11">
        <f t="shared" ref="H11:P11" si="1">H10*29</f>
        <v>97.056705426356572</v>
      </c>
      <c r="I11">
        <f t="shared" si="1"/>
        <v>81.892403100775184</v>
      </c>
      <c r="J11">
        <f t="shared" si="1"/>
        <v>99.577007751937984</v>
      </c>
      <c r="K11">
        <f t="shared" si="1"/>
        <v>109.17353488372093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259.49784496124028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C88E-DC5C-4582-A0BA-246715114C7C}">
  <sheetPr codeName="Sheet27"/>
  <dimension ref="B2:P110"/>
  <sheetViews>
    <sheetView workbookViewId="0"/>
  </sheetViews>
  <sheetFormatPr defaultRowHeight="12.75" x14ac:dyDescent="0.2"/>
  <cols>
    <col min="5" max="5" width="27.7109375" customWidth="1"/>
    <col min="6" max="6" width="26.140625" customWidth="1"/>
    <col min="7" max="7" width="24.28515625" customWidth="1"/>
    <col min="11" max="11" width="13.85546875" customWidth="1"/>
    <col min="12" max="13" width="8.85546875" customWidth="1"/>
    <col min="14" max="14" width="12.5703125" bestFit="1" customWidth="1"/>
    <col min="15" max="15" width="32" customWidth="1"/>
    <col min="16" max="16" width="21.28515625" customWidth="1"/>
    <col min="17" max="17" width="50.42578125" customWidth="1"/>
  </cols>
  <sheetData>
    <row r="2" spans="2:14" x14ac:dyDescent="0.2">
      <c r="B2" s="286" t="s">
        <v>462</v>
      </c>
    </row>
    <row r="9" spans="2:14" x14ac:dyDescent="0.2">
      <c r="M9" s="92" t="s">
        <v>521</v>
      </c>
    </row>
    <row r="10" spans="2:14" x14ac:dyDescent="0.2">
      <c r="L10" s="92" t="s">
        <v>513</v>
      </c>
      <c r="M10">
        <v>28.349</v>
      </c>
    </row>
    <row r="11" spans="2:14" x14ac:dyDescent="0.2">
      <c r="L11" s="92" t="s">
        <v>514</v>
      </c>
      <c r="M11">
        <v>31.103999999999999</v>
      </c>
    </row>
    <row r="15" spans="2:14" x14ac:dyDescent="0.2">
      <c r="N15" s="92"/>
    </row>
    <row r="20" spans="5:16" ht="15" x14ac:dyDescent="0.2">
      <c r="E20" s="288"/>
      <c r="F20" s="289" t="s">
        <v>481</v>
      </c>
      <c r="G20" s="289" t="s">
        <v>482</v>
      </c>
    </row>
    <row r="21" spans="5:16" ht="15" x14ac:dyDescent="0.2">
      <c r="E21" s="290" t="s">
        <v>483</v>
      </c>
      <c r="F21" s="291" t="s">
        <v>484</v>
      </c>
      <c r="G21" s="291" t="s">
        <v>485</v>
      </c>
      <c r="N21" s="92" t="s">
        <v>512</v>
      </c>
    </row>
    <row r="22" spans="5:16" ht="15" x14ac:dyDescent="0.2">
      <c r="E22" s="290" t="s">
        <v>486</v>
      </c>
      <c r="F22" s="292" t="s">
        <v>487</v>
      </c>
      <c r="G22" s="292" t="s">
        <v>488</v>
      </c>
      <c r="J22" s="92" t="s">
        <v>506</v>
      </c>
      <c r="L22">
        <v>19.5</v>
      </c>
      <c r="M22" s="92" t="s">
        <v>507</v>
      </c>
      <c r="N22" s="152">
        <f>L22*1000000*$M$10/1000000</f>
        <v>552.80550000000005</v>
      </c>
      <c r="O22" s="92" t="s">
        <v>209</v>
      </c>
    </row>
    <row r="23" spans="5:16" ht="15" x14ac:dyDescent="0.2">
      <c r="E23" s="290" t="s">
        <v>489</v>
      </c>
      <c r="F23" s="293" t="s">
        <v>490</v>
      </c>
      <c r="G23" s="291" t="s">
        <v>491</v>
      </c>
      <c r="J23" s="92" t="s">
        <v>510</v>
      </c>
      <c r="L23">
        <v>420000</v>
      </c>
      <c r="M23" s="92" t="s">
        <v>511</v>
      </c>
      <c r="N23" s="152">
        <f>L23*$M$10/1000000</f>
        <v>11.90658</v>
      </c>
      <c r="O23" s="92" t="s">
        <v>526</v>
      </c>
    </row>
    <row r="24" spans="5:16" ht="15" x14ac:dyDescent="0.2">
      <c r="E24" s="290" t="s">
        <v>492</v>
      </c>
      <c r="F24" s="291" t="s">
        <v>493</v>
      </c>
      <c r="G24" s="291" t="s">
        <v>494</v>
      </c>
      <c r="J24" s="92" t="s">
        <v>508</v>
      </c>
      <c r="L24">
        <v>45</v>
      </c>
      <c r="M24" s="92" t="s">
        <v>509</v>
      </c>
    </row>
    <row r="25" spans="5:16" ht="15" x14ac:dyDescent="0.2">
      <c r="E25" s="290" t="s">
        <v>495</v>
      </c>
      <c r="F25" s="292" t="s">
        <v>496</v>
      </c>
      <c r="G25" s="292" t="s">
        <v>497</v>
      </c>
      <c r="J25" s="298" t="s">
        <v>470</v>
      </c>
      <c r="K25" s="299"/>
      <c r="L25" s="299">
        <f>L45</f>
        <v>1104</v>
      </c>
      <c r="M25" s="298" t="s">
        <v>519</v>
      </c>
      <c r="N25" s="306">
        <f>L25/N23</f>
        <v>92.721839520668411</v>
      </c>
      <c r="O25" s="298" t="s">
        <v>520</v>
      </c>
    </row>
    <row r="26" spans="5:16" ht="15" x14ac:dyDescent="0.2">
      <c r="E26" s="290" t="s">
        <v>498</v>
      </c>
      <c r="F26" s="291" t="s">
        <v>499</v>
      </c>
      <c r="G26" s="291" t="s">
        <v>500</v>
      </c>
      <c r="J26" s="298" t="s">
        <v>533</v>
      </c>
      <c r="K26" s="299"/>
      <c r="L26" s="299"/>
      <c r="M26" s="298"/>
      <c r="N26" s="306">
        <f>(L58/M10)</f>
        <v>17.178736463367315</v>
      </c>
      <c r="O26" s="298" t="s">
        <v>534</v>
      </c>
      <c r="P26" s="92"/>
    </row>
    <row r="27" spans="5:16" ht="30" x14ac:dyDescent="0.2">
      <c r="E27" s="290" t="s">
        <v>501</v>
      </c>
      <c r="F27" s="292" t="s">
        <v>502</v>
      </c>
      <c r="G27" s="292" t="s">
        <v>503</v>
      </c>
    </row>
    <row r="28" spans="5:16" ht="31.5" x14ac:dyDescent="0.2">
      <c r="E28" s="294" t="s">
        <v>504</v>
      </c>
      <c r="F28" s="295">
        <v>216.57</v>
      </c>
      <c r="G28" s="296" t="s">
        <v>505</v>
      </c>
      <c r="N28" s="300"/>
      <c r="O28" s="92"/>
    </row>
    <row r="29" spans="5:16" x14ac:dyDescent="0.2">
      <c r="O29" s="92"/>
    </row>
    <row r="35" spans="10:15" ht="15.75" x14ac:dyDescent="0.25">
      <c r="K35" s="287" t="s">
        <v>470</v>
      </c>
    </row>
    <row r="36" spans="10:15" x14ac:dyDescent="0.2">
      <c r="J36" s="92"/>
    </row>
    <row r="37" spans="10:15" x14ac:dyDescent="0.2">
      <c r="L37" s="92" t="s">
        <v>465</v>
      </c>
    </row>
    <row r="38" spans="10:15" x14ac:dyDescent="0.2">
      <c r="K38" s="92" t="s">
        <v>463</v>
      </c>
      <c r="L38" s="1">
        <v>406</v>
      </c>
    </row>
    <row r="39" spans="10:15" x14ac:dyDescent="0.2">
      <c r="K39" s="92" t="s">
        <v>464</v>
      </c>
      <c r="L39" s="1">
        <v>172</v>
      </c>
    </row>
    <row r="40" spans="10:15" x14ac:dyDescent="0.2">
      <c r="K40" s="92" t="s">
        <v>466</v>
      </c>
      <c r="L40" s="1">
        <f>SUM(M41:M43)</f>
        <v>143</v>
      </c>
    </row>
    <row r="41" spans="10:15" x14ac:dyDescent="0.2">
      <c r="M41">
        <v>45</v>
      </c>
      <c r="N41" s="302" t="s">
        <v>467</v>
      </c>
    </row>
    <row r="42" spans="10:15" x14ac:dyDescent="0.2">
      <c r="M42">
        <v>82</v>
      </c>
      <c r="N42" s="302" t="s">
        <v>468</v>
      </c>
    </row>
    <row r="43" spans="10:15" x14ac:dyDescent="0.2">
      <c r="M43">
        <v>16</v>
      </c>
      <c r="N43" s="302" t="s">
        <v>469</v>
      </c>
    </row>
    <row r="45" spans="10:15" x14ac:dyDescent="0.2">
      <c r="K45" s="297" t="s">
        <v>518</v>
      </c>
      <c r="L45" s="1">
        <v>1104</v>
      </c>
      <c r="N45" s="152"/>
      <c r="O45" s="92"/>
    </row>
    <row r="56" spans="11:14" ht="15.75" x14ac:dyDescent="0.25">
      <c r="K56" s="287" t="s">
        <v>471</v>
      </c>
    </row>
    <row r="57" spans="11:14" x14ac:dyDescent="0.2">
      <c r="L57" s="1" t="s">
        <v>480</v>
      </c>
    </row>
    <row r="58" spans="11:14" x14ac:dyDescent="0.2">
      <c r="K58" s="92" t="s">
        <v>472</v>
      </c>
      <c r="L58">
        <v>487</v>
      </c>
    </row>
    <row r="59" spans="11:14" x14ac:dyDescent="0.2">
      <c r="K59" s="92" t="s">
        <v>473</v>
      </c>
      <c r="L59">
        <v>302</v>
      </c>
      <c r="N59" s="92" t="s">
        <v>515</v>
      </c>
    </row>
    <row r="60" spans="11:14" x14ac:dyDescent="0.2">
      <c r="K60" s="92" t="s">
        <v>475</v>
      </c>
      <c r="L60">
        <v>88</v>
      </c>
    </row>
    <row r="61" spans="11:14" x14ac:dyDescent="0.2">
      <c r="K61" s="92" t="s">
        <v>474</v>
      </c>
      <c r="L61">
        <v>-236</v>
      </c>
    </row>
    <row r="63" spans="11:14" x14ac:dyDescent="0.2">
      <c r="K63" s="92" t="s">
        <v>476</v>
      </c>
      <c r="L63">
        <v>94</v>
      </c>
    </row>
    <row r="64" spans="11:14" x14ac:dyDescent="0.2">
      <c r="K64" s="92" t="s">
        <v>477</v>
      </c>
      <c r="L64">
        <v>34</v>
      </c>
    </row>
    <row r="66" spans="11:13" x14ac:dyDescent="0.2">
      <c r="K66" s="1" t="s">
        <v>478</v>
      </c>
      <c r="L66" s="1">
        <f>SUM(L58:L64)</f>
        <v>769</v>
      </c>
      <c r="M66" s="92" t="s">
        <v>522</v>
      </c>
    </row>
    <row r="67" spans="11:13" x14ac:dyDescent="0.2">
      <c r="K67" s="92" t="s">
        <v>479</v>
      </c>
      <c r="L67">
        <f>L66-L59</f>
        <v>467</v>
      </c>
    </row>
    <row r="82" spans="2:15" x14ac:dyDescent="0.2">
      <c r="B82" s="92"/>
      <c r="C82" s="92" t="s">
        <v>226</v>
      </c>
    </row>
    <row r="83" spans="2:15" x14ac:dyDescent="0.2">
      <c r="B83" s="92"/>
      <c r="C83" s="92" t="s">
        <v>324</v>
      </c>
    </row>
    <row r="84" spans="2:15" x14ac:dyDescent="0.2">
      <c r="C84" s="92" t="s">
        <v>228</v>
      </c>
    </row>
    <row r="85" spans="2:15" x14ac:dyDescent="0.2">
      <c r="C85" s="92" t="s">
        <v>229</v>
      </c>
    </row>
    <row r="92" spans="2:15" x14ac:dyDescent="0.2">
      <c r="N92" s="92" t="s">
        <v>517</v>
      </c>
      <c r="O92" s="92" t="s">
        <v>516</v>
      </c>
    </row>
    <row r="93" spans="2:15" x14ac:dyDescent="0.2">
      <c r="M93">
        <v>2020</v>
      </c>
      <c r="O93">
        <v>-30</v>
      </c>
    </row>
    <row r="94" spans="2:15" x14ac:dyDescent="0.2">
      <c r="M94">
        <v>2021</v>
      </c>
      <c r="O94">
        <v>-60</v>
      </c>
    </row>
    <row r="95" spans="2:15" x14ac:dyDescent="0.2">
      <c r="M95">
        <v>2022</v>
      </c>
      <c r="O95">
        <v>-200</v>
      </c>
    </row>
    <row r="96" spans="2:15" x14ac:dyDescent="0.2">
      <c r="M96">
        <v>2023</v>
      </c>
      <c r="O96">
        <v>-290</v>
      </c>
    </row>
    <row r="97" spans="13:16" x14ac:dyDescent="0.2">
      <c r="M97">
        <v>2024</v>
      </c>
      <c r="N97">
        <v>-75</v>
      </c>
      <c r="O97">
        <v>-200</v>
      </c>
    </row>
    <row r="98" spans="13:16" x14ac:dyDescent="0.2">
      <c r="M98">
        <v>2025</v>
      </c>
      <c r="N98">
        <v>-75</v>
      </c>
      <c r="O98">
        <v>-300</v>
      </c>
    </row>
    <row r="99" spans="13:16" x14ac:dyDescent="0.2">
      <c r="O99" s="1">
        <f>SUM(O93:O98)</f>
        <v>-1080</v>
      </c>
    </row>
    <row r="103" spans="13:16" x14ac:dyDescent="0.2">
      <c r="N103" s="92" t="s">
        <v>532</v>
      </c>
      <c r="O103" s="92" t="s">
        <v>516</v>
      </c>
    </row>
    <row r="104" spans="13:16" x14ac:dyDescent="0.2">
      <c r="M104">
        <v>2020</v>
      </c>
      <c r="N104">
        <v>-90</v>
      </c>
      <c r="O104">
        <v>-130</v>
      </c>
      <c r="P104">
        <v>-100</v>
      </c>
    </row>
    <row r="105" spans="13:16" x14ac:dyDescent="0.2">
      <c r="M105">
        <v>2021</v>
      </c>
    </row>
    <row r="106" spans="13:16" x14ac:dyDescent="0.2">
      <c r="M106">
        <v>2022</v>
      </c>
    </row>
    <row r="107" spans="13:16" x14ac:dyDescent="0.2">
      <c r="M107">
        <v>2023</v>
      </c>
    </row>
    <row r="108" spans="13:16" x14ac:dyDescent="0.2">
      <c r="M108">
        <v>2024</v>
      </c>
    </row>
    <row r="109" spans="13:16" x14ac:dyDescent="0.2">
      <c r="M109">
        <v>2025</v>
      </c>
    </row>
    <row r="110" spans="13:16" x14ac:dyDescent="0.2">
      <c r="O110" s="1"/>
    </row>
  </sheetData>
  <hyperlinks>
    <hyperlink ref="B2" r:id="rId1" xr:uid="{E909C7CF-E6CF-40F6-B858-C6597822A107}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742D-B968-4513-838F-39D28A598FDE}">
  <sheetPr codeName="Sheet32"/>
  <dimension ref="B3:AH187"/>
  <sheetViews>
    <sheetView workbookViewId="0"/>
  </sheetViews>
  <sheetFormatPr defaultColWidth="8.85546875" defaultRowHeight="15" x14ac:dyDescent="0.25"/>
  <cols>
    <col min="1" max="1" width="8.85546875" style="154"/>
    <col min="2" max="2" width="15.85546875" style="154" customWidth="1"/>
    <col min="3" max="3" width="11.5703125" style="154" bestFit="1" customWidth="1"/>
    <col min="4" max="4" width="8.85546875" style="154"/>
    <col min="5" max="6" width="14.28515625" style="154" bestFit="1" customWidth="1"/>
    <col min="7" max="7" width="8.85546875" style="154"/>
    <col min="8" max="8" width="18.5703125" style="154" customWidth="1"/>
    <col min="9" max="14" width="8.85546875" style="154"/>
    <col min="15" max="15" width="10.5703125" style="154" bestFit="1" customWidth="1"/>
    <col min="16" max="23" width="8.85546875" style="154"/>
    <col min="24" max="24" width="11.5703125" style="154" bestFit="1" customWidth="1"/>
    <col min="25" max="16384" width="8.85546875" style="154"/>
  </cols>
  <sheetData>
    <row r="3" spans="2:33" x14ac:dyDescent="0.25">
      <c r="B3" s="154" t="s">
        <v>340</v>
      </c>
    </row>
    <row r="4" spans="2:33" x14ac:dyDescent="0.25">
      <c r="H4" s="154" t="s">
        <v>341</v>
      </c>
      <c r="S4" s="153" t="s">
        <v>342</v>
      </c>
      <c r="T4" s="154" t="s">
        <v>343</v>
      </c>
      <c r="U4" s="154" t="s">
        <v>344</v>
      </c>
    </row>
    <row r="5" spans="2:33" x14ac:dyDescent="0.25">
      <c r="B5" s="154" t="s">
        <v>345</v>
      </c>
      <c r="C5" s="154" t="s">
        <v>346</v>
      </c>
      <c r="E5" s="154" t="s">
        <v>347</v>
      </c>
      <c r="H5" s="182"/>
      <c r="I5" s="231" t="s">
        <v>348</v>
      </c>
      <c r="J5" s="231" t="s">
        <v>319</v>
      </c>
      <c r="K5" s="157"/>
      <c r="S5" s="154" t="s">
        <v>178</v>
      </c>
      <c r="T5" s="232">
        <f>((U5/100)/3.6)*1000</f>
        <v>233.61805555555554</v>
      </c>
      <c r="U5" s="154">
        <f>X23*3/12+AD23*9/12</f>
        <v>84.102499999999992</v>
      </c>
    </row>
    <row r="6" spans="2:33" x14ac:dyDescent="0.25">
      <c r="B6" s="154" t="s">
        <v>178</v>
      </c>
      <c r="C6" s="233"/>
      <c r="E6" s="232">
        <f>T5</f>
        <v>233.61805555555554</v>
      </c>
      <c r="F6" s="234"/>
      <c r="H6" s="177" t="s">
        <v>349</v>
      </c>
      <c r="I6" s="154" t="s">
        <v>350</v>
      </c>
      <c r="J6" s="154" t="s">
        <v>351</v>
      </c>
      <c r="K6" s="161" t="s">
        <v>352</v>
      </c>
      <c r="O6" s="154" t="s">
        <v>353</v>
      </c>
      <c r="S6" s="154" t="s">
        <v>180</v>
      </c>
      <c r="T6" s="232">
        <f>W8*1000/100</f>
        <v>380.52631578947364</v>
      </c>
      <c r="W6" s="154">
        <v>1446</v>
      </c>
      <c r="X6" s="154" t="s">
        <v>354</v>
      </c>
      <c r="Y6" s="154" t="s">
        <v>355</v>
      </c>
    </row>
    <row r="7" spans="2:33" x14ac:dyDescent="0.25">
      <c r="B7" s="154" t="s">
        <v>180</v>
      </c>
      <c r="C7" s="233"/>
      <c r="E7" s="232">
        <f>T6</f>
        <v>380.52631578947364</v>
      </c>
      <c r="F7" s="234"/>
      <c r="H7" s="235">
        <v>44339</v>
      </c>
      <c r="I7" s="154">
        <v>39129.07</v>
      </c>
      <c r="J7" s="154">
        <v>37398.39</v>
      </c>
      <c r="K7" s="161">
        <v>38224.99</v>
      </c>
      <c r="L7" s="154">
        <f>YEAR(H7)</f>
        <v>2021</v>
      </c>
      <c r="N7" s="154">
        <v>2016</v>
      </c>
      <c r="O7" s="233">
        <f>AVERAGEIFS($K$7:$K$186,$L$7:$L$186,N7)</f>
        <v>32757.693157894741</v>
      </c>
      <c r="S7" s="154" t="s">
        <v>143</v>
      </c>
      <c r="T7" s="232">
        <f>W10/W11</f>
        <v>22.192307692307693</v>
      </c>
      <c r="W7" s="154">
        <v>38</v>
      </c>
      <c r="X7" s="154" t="s">
        <v>356</v>
      </c>
    </row>
    <row r="8" spans="2:33" x14ac:dyDescent="0.25">
      <c r="B8" s="154" t="s">
        <v>143</v>
      </c>
      <c r="C8" s="233"/>
      <c r="E8" s="232">
        <f>T7</f>
        <v>22.192307692307693</v>
      </c>
      <c r="F8" s="234"/>
      <c r="H8" s="235">
        <v>44329</v>
      </c>
      <c r="I8" s="154">
        <v>40254.18</v>
      </c>
      <c r="J8" s="154">
        <v>37557.699999999997</v>
      </c>
      <c r="K8" s="161">
        <v>37679.870000000003</v>
      </c>
      <c r="L8" s="154">
        <f t="shared" ref="L8:L71" si="0">YEAR(H8)</f>
        <v>2021</v>
      </c>
      <c r="N8" s="154">
        <v>2017</v>
      </c>
      <c r="O8" s="233">
        <f>AVERAGEIFS($K$7:$K$186,$L$7:$L$186,N8)</f>
        <v>30609.431081081093</v>
      </c>
      <c r="S8" s="154" t="s">
        <v>179</v>
      </c>
      <c r="T8" s="232"/>
      <c r="W8" s="154">
        <f>W6/W7</f>
        <v>38.05263157894737</v>
      </c>
      <c r="X8" s="154" t="s">
        <v>357</v>
      </c>
    </row>
    <row r="9" spans="2:33" x14ac:dyDescent="0.25">
      <c r="B9" s="154" t="s">
        <v>179</v>
      </c>
      <c r="C9" s="233"/>
      <c r="E9" s="232">
        <f>T8</f>
        <v>0</v>
      </c>
      <c r="F9" s="234"/>
      <c r="H9" s="235">
        <v>44319</v>
      </c>
      <c r="I9" s="154">
        <v>41169.51</v>
      </c>
      <c r="J9" s="154">
        <v>38421.75</v>
      </c>
      <c r="K9" s="161">
        <v>39164.43</v>
      </c>
      <c r="L9" s="154">
        <f t="shared" si="0"/>
        <v>2021</v>
      </c>
      <c r="N9" s="154">
        <v>2018</v>
      </c>
      <c r="O9" s="233">
        <f>AVERAGEIFS($K$7:$K$186,$L$7:$L$186,N9)</f>
        <v>28111.978888888887</v>
      </c>
    </row>
    <row r="10" spans="2:33" x14ac:dyDescent="0.25">
      <c r="F10" s="234"/>
      <c r="H10" s="235">
        <v>44309</v>
      </c>
      <c r="I10" s="154">
        <v>40485.67</v>
      </c>
      <c r="J10" s="154">
        <v>37871.01</v>
      </c>
      <c r="K10" s="161">
        <v>38694.230000000003</v>
      </c>
      <c r="L10" s="154">
        <f t="shared" si="0"/>
        <v>2021</v>
      </c>
      <c r="N10" s="154">
        <v>2019</v>
      </c>
      <c r="O10" s="233">
        <f>AVERAGEIFS($K$7:$K$186,$L$7:$L$186,N10)</f>
        <v>27902.301351351351</v>
      </c>
      <c r="Q10" s="154">
        <v>16</v>
      </c>
      <c r="W10" s="154">
        <v>577</v>
      </c>
      <c r="X10" s="154" t="s">
        <v>358</v>
      </c>
      <c r="Y10" s="154" t="s">
        <v>359</v>
      </c>
    </row>
    <row r="11" spans="2:33" x14ac:dyDescent="0.25">
      <c r="B11" s="154" t="s">
        <v>360</v>
      </c>
      <c r="E11" s="233">
        <f>SUMPRODUCT(E6:E9,C6:C9)</f>
        <v>0</v>
      </c>
      <c r="H11" s="235">
        <v>44299</v>
      </c>
      <c r="I11" s="154">
        <v>39606.83</v>
      </c>
      <c r="J11" s="154">
        <v>37173.339999999997</v>
      </c>
      <c r="K11" s="161">
        <v>38818.01</v>
      </c>
      <c r="L11" s="154">
        <f t="shared" si="0"/>
        <v>2021</v>
      </c>
      <c r="N11" s="154">
        <v>2020</v>
      </c>
      <c r="O11" s="233">
        <f>AVERAGEIFS($K$7:$K$186,$L$7:$L$186,N11)</f>
        <v>28529.826944444452</v>
      </c>
      <c r="W11" s="154">
        <v>26</v>
      </c>
      <c r="X11" s="154" t="s">
        <v>346</v>
      </c>
    </row>
    <row r="12" spans="2:33" x14ac:dyDescent="0.25">
      <c r="B12" s="154" t="s">
        <v>361</v>
      </c>
      <c r="E12" s="233">
        <f>E11/1000</f>
        <v>0</v>
      </c>
      <c r="F12" s="154" t="s">
        <v>362</v>
      </c>
      <c r="H12" s="235">
        <v>44289</v>
      </c>
      <c r="I12" s="154">
        <v>40120.76</v>
      </c>
      <c r="J12" s="154">
        <v>37582.94</v>
      </c>
      <c r="K12" s="161">
        <v>37638.879999999997</v>
      </c>
      <c r="L12" s="154">
        <f t="shared" si="0"/>
        <v>2021</v>
      </c>
    </row>
    <row r="13" spans="2:33" x14ac:dyDescent="0.25">
      <c r="H13" s="235">
        <v>44279</v>
      </c>
      <c r="I13" s="154">
        <v>39065.410000000003</v>
      </c>
      <c r="J13" s="154">
        <v>36808.75</v>
      </c>
      <c r="K13" s="161">
        <v>39008.019999999997</v>
      </c>
      <c r="L13" s="154">
        <f t="shared" si="0"/>
        <v>2021</v>
      </c>
    </row>
    <row r="14" spans="2:33" x14ac:dyDescent="0.25">
      <c r="E14" s="233"/>
      <c r="H14" s="235">
        <v>44269</v>
      </c>
      <c r="I14" s="154">
        <v>39825.93</v>
      </c>
      <c r="J14" s="154">
        <v>37410.769999999997</v>
      </c>
      <c r="K14" s="161">
        <v>37520.730000000003</v>
      </c>
      <c r="L14" s="154">
        <f t="shared" si="0"/>
        <v>2021</v>
      </c>
      <c r="T14" s="154" t="s">
        <v>363</v>
      </c>
    </row>
    <row r="15" spans="2:33" x14ac:dyDescent="0.25">
      <c r="B15" s="154" t="s">
        <v>364</v>
      </c>
      <c r="E15" s="236">
        <f>X35</f>
        <v>413490.66572736879</v>
      </c>
      <c r="H15" s="235">
        <v>44259</v>
      </c>
      <c r="I15" s="154">
        <v>39532.239999999998</v>
      </c>
      <c r="J15" s="154">
        <v>35722.21</v>
      </c>
      <c r="K15" s="161">
        <v>38830.22</v>
      </c>
      <c r="L15" s="154">
        <f t="shared" si="0"/>
        <v>2021</v>
      </c>
    </row>
    <row r="16" spans="2:33" x14ac:dyDescent="0.25">
      <c r="B16" s="237" t="s">
        <v>365</v>
      </c>
      <c r="C16" s="237"/>
      <c r="D16" s="237"/>
      <c r="E16" s="238">
        <f>E15-E12</f>
        <v>413490.66572736879</v>
      </c>
      <c r="H16" s="235">
        <v>44249</v>
      </c>
      <c r="I16" s="154">
        <v>41905.769999999997</v>
      </c>
      <c r="J16" s="154">
        <v>37275.25</v>
      </c>
      <c r="K16" s="161">
        <v>37419.769999999997</v>
      </c>
      <c r="L16" s="154">
        <f t="shared" si="0"/>
        <v>2021</v>
      </c>
      <c r="U16" s="154" t="s">
        <v>366</v>
      </c>
      <c r="AG16" s="154" t="s">
        <v>367</v>
      </c>
    </row>
    <row r="17" spans="8:34" x14ac:dyDescent="0.25">
      <c r="H17" s="235">
        <v>44239</v>
      </c>
      <c r="I17" s="154">
        <v>43085.22</v>
      </c>
      <c r="J17" s="154">
        <v>38966.870000000003</v>
      </c>
      <c r="K17" s="161">
        <v>41445.53</v>
      </c>
      <c r="L17" s="154">
        <f t="shared" si="0"/>
        <v>2021</v>
      </c>
      <c r="U17" s="154" t="s">
        <v>368</v>
      </c>
      <c r="AA17" s="154" t="s">
        <v>369</v>
      </c>
    </row>
    <row r="18" spans="8:34" x14ac:dyDescent="0.25">
      <c r="H18" s="235">
        <v>44229</v>
      </c>
      <c r="I18" s="154">
        <v>40949.599999999999</v>
      </c>
      <c r="J18" s="154">
        <v>34683.1</v>
      </c>
      <c r="K18" s="161">
        <v>39714.21</v>
      </c>
      <c r="L18" s="154">
        <f t="shared" si="0"/>
        <v>2021</v>
      </c>
      <c r="T18" s="154" t="s">
        <v>370</v>
      </c>
      <c r="U18" s="154" t="s">
        <v>371</v>
      </c>
      <c r="W18" s="154" t="s">
        <v>372</v>
      </c>
      <c r="Y18" s="154" t="s">
        <v>373</v>
      </c>
      <c r="AA18" s="154" t="s">
        <v>371</v>
      </c>
      <c r="AC18" s="154" t="s">
        <v>372</v>
      </c>
      <c r="AE18" s="154" t="s">
        <v>373</v>
      </c>
    </row>
    <row r="19" spans="8:34" x14ac:dyDescent="0.25">
      <c r="H19" s="235">
        <v>44219</v>
      </c>
      <c r="I19" s="154">
        <v>36477.75</v>
      </c>
      <c r="J19" s="154">
        <v>33844.769999999997</v>
      </c>
      <c r="K19" s="161">
        <v>36156.730000000003</v>
      </c>
      <c r="L19" s="154">
        <f t="shared" si="0"/>
        <v>2021</v>
      </c>
      <c r="V19" s="154" t="s">
        <v>374</v>
      </c>
      <c r="X19" s="154" t="s">
        <v>374</v>
      </c>
      <c r="Z19" s="154" t="s">
        <v>374</v>
      </c>
      <c r="AB19" s="154" t="s">
        <v>374</v>
      </c>
      <c r="AD19" s="154" t="s">
        <v>374</v>
      </c>
      <c r="AF19" s="154" t="s">
        <v>374</v>
      </c>
      <c r="AH19" s="154" t="s">
        <v>374</v>
      </c>
    </row>
    <row r="20" spans="8:34" x14ac:dyDescent="0.25">
      <c r="H20" s="235">
        <v>44209</v>
      </c>
      <c r="I20" s="154">
        <v>37172.370000000003</v>
      </c>
      <c r="J20" s="154">
        <v>34213.379999999997</v>
      </c>
      <c r="K20" s="161">
        <v>35481.89</v>
      </c>
      <c r="L20" s="154">
        <f t="shared" si="0"/>
        <v>2021</v>
      </c>
      <c r="S20" s="154" t="s">
        <v>375</v>
      </c>
      <c r="T20" s="154" t="s">
        <v>376</v>
      </c>
      <c r="U20" s="154">
        <v>333.51</v>
      </c>
      <c r="V20" s="154">
        <v>383.54</v>
      </c>
      <c r="W20" s="154">
        <v>101.47</v>
      </c>
      <c r="X20" s="154">
        <v>116.69</v>
      </c>
      <c r="Y20" s="154">
        <v>55.41</v>
      </c>
      <c r="Z20" s="154">
        <v>63.72</v>
      </c>
      <c r="AA20" s="154">
        <v>109.21</v>
      </c>
      <c r="AB20" s="154">
        <v>125.59</v>
      </c>
      <c r="AC20" s="154">
        <v>75.36</v>
      </c>
      <c r="AD20" s="154">
        <v>86.66</v>
      </c>
      <c r="AE20" s="154">
        <v>48.04</v>
      </c>
      <c r="AF20" s="154">
        <v>55.25</v>
      </c>
      <c r="AG20" s="239">
        <v>9.5399999999999991</v>
      </c>
      <c r="AH20" s="239">
        <v>10.97</v>
      </c>
    </row>
    <row r="21" spans="8:34" x14ac:dyDescent="0.25">
      <c r="H21" s="235">
        <v>44199</v>
      </c>
      <c r="I21" s="154">
        <v>36413.29</v>
      </c>
      <c r="J21" s="154">
        <v>32477.08</v>
      </c>
      <c r="K21" s="161">
        <v>34673.78</v>
      </c>
      <c r="L21" s="154">
        <f t="shared" si="0"/>
        <v>2021</v>
      </c>
      <c r="T21" s="154" t="s">
        <v>377</v>
      </c>
      <c r="U21" s="154">
        <v>328.28</v>
      </c>
      <c r="V21" s="154">
        <v>377.52</v>
      </c>
      <c r="W21" s="154">
        <v>99.45</v>
      </c>
      <c r="X21" s="154">
        <v>114.37</v>
      </c>
      <c r="Y21" s="154">
        <v>54.01</v>
      </c>
      <c r="Z21" s="154">
        <v>62.11</v>
      </c>
      <c r="AA21" s="154">
        <v>107.07</v>
      </c>
      <c r="AB21" s="154">
        <v>123.13</v>
      </c>
      <c r="AC21" s="154">
        <v>73.709999999999994</v>
      </c>
      <c r="AD21" s="154">
        <v>84.77</v>
      </c>
      <c r="AE21" s="154">
        <v>46.76</v>
      </c>
      <c r="AF21" s="154">
        <v>53.77</v>
      </c>
      <c r="AG21" s="239">
        <v>8.7200000000000006</v>
      </c>
      <c r="AH21" s="239">
        <v>10.029999999999999</v>
      </c>
    </row>
    <row r="22" spans="8:34" x14ac:dyDescent="0.25">
      <c r="H22" s="235">
        <v>44189</v>
      </c>
      <c r="I22" s="154">
        <v>34863.949999999997</v>
      </c>
      <c r="J22" s="154">
        <v>32711.78</v>
      </c>
      <c r="K22" s="161">
        <v>34387.800000000003</v>
      </c>
      <c r="L22" s="154">
        <f t="shared" si="0"/>
        <v>2020</v>
      </c>
      <c r="T22" s="154" t="s">
        <v>378</v>
      </c>
      <c r="U22" s="154">
        <v>317.88</v>
      </c>
      <c r="V22" s="154">
        <v>365.56</v>
      </c>
      <c r="W22" s="154">
        <v>96.29</v>
      </c>
      <c r="X22" s="154">
        <v>110.73</v>
      </c>
      <c r="Y22" s="154">
        <v>52.3</v>
      </c>
      <c r="Z22" s="154">
        <v>60.15</v>
      </c>
      <c r="AA22" s="154">
        <v>103.71</v>
      </c>
      <c r="AB22" s="154">
        <v>119.27</v>
      </c>
      <c r="AC22" s="154">
        <v>71.36</v>
      </c>
      <c r="AD22" s="154">
        <v>82.06</v>
      </c>
      <c r="AE22" s="154">
        <v>45.29</v>
      </c>
      <c r="AF22" s="154">
        <v>52.08</v>
      </c>
      <c r="AG22" s="239">
        <v>8.49</v>
      </c>
      <c r="AH22" s="239">
        <v>9.76</v>
      </c>
    </row>
    <row r="23" spans="8:34" x14ac:dyDescent="0.25">
      <c r="H23" s="235">
        <v>44179</v>
      </c>
      <c r="I23" s="154">
        <v>34086.699999999997</v>
      </c>
      <c r="J23" s="154">
        <v>30092.62</v>
      </c>
      <c r="K23" s="161">
        <v>32729.46</v>
      </c>
      <c r="L23" s="154">
        <f t="shared" si="0"/>
        <v>2020</v>
      </c>
      <c r="T23" s="154" t="s">
        <v>379</v>
      </c>
      <c r="U23" s="154">
        <v>299.60000000000002</v>
      </c>
      <c r="V23" s="154">
        <v>344.54</v>
      </c>
      <c r="W23" s="154">
        <v>90.75</v>
      </c>
      <c r="X23" s="154">
        <v>104.36</v>
      </c>
      <c r="Y23" s="154">
        <v>49.29</v>
      </c>
      <c r="Z23" s="154">
        <v>56.68</v>
      </c>
      <c r="AA23" s="154">
        <v>97.76</v>
      </c>
      <c r="AB23" s="154">
        <v>112.42</v>
      </c>
      <c r="AC23" s="154">
        <v>67.260000000000005</v>
      </c>
      <c r="AD23" s="154">
        <v>77.349999999999994</v>
      </c>
      <c r="AE23" s="154">
        <v>42.68</v>
      </c>
      <c r="AF23" s="154">
        <v>49.08</v>
      </c>
      <c r="AG23" s="239">
        <v>10.73</v>
      </c>
      <c r="AH23" s="239">
        <v>12.34</v>
      </c>
    </row>
    <row r="24" spans="8:34" x14ac:dyDescent="0.25">
      <c r="H24" s="235">
        <v>44169</v>
      </c>
      <c r="I24" s="154">
        <v>34785.980000000003</v>
      </c>
      <c r="J24" s="154">
        <v>31973.599999999999</v>
      </c>
      <c r="K24" s="161">
        <v>32793.760000000002</v>
      </c>
      <c r="L24" s="154">
        <f t="shared" si="0"/>
        <v>2020</v>
      </c>
      <c r="S24" s="154" t="s">
        <v>380</v>
      </c>
      <c r="T24" s="154" t="s">
        <v>376</v>
      </c>
      <c r="U24" s="154">
        <v>336.24</v>
      </c>
      <c r="V24" s="154">
        <v>386.68</v>
      </c>
      <c r="W24" s="154">
        <v>101.88</v>
      </c>
      <c r="X24" s="154">
        <v>117.16</v>
      </c>
      <c r="Y24" s="154">
        <v>55.31</v>
      </c>
      <c r="Z24" s="154">
        <v>63.61</v>
      </c>
      <c r="AA24" s="154">
        <v>109.69</v>
      </c>
      <c r="AB24" s="154">
        <v>126.14</v>
      </c>
      <c r="AC24" s="154">
        <v>75.52</v>
      </c>
      <c r="AD24" s="154">
        <v>86.85</v>
      </c>
      <c r="AE24" s="154">
        <v>47.91</v>
      </c>
      <c r="AF24" s="154">
        <v>55.1</v>
      </c>
      <c r="AG24" s="239">
        <v>9.61</v>
      </c>
      <c r="AH24" s="239">
        <v>11.05</v>
      </c>
    </row>
    <row r="25" spans="8:34" x14ac:dyDescent="0.25">
      <c r="H25" s="235">
        <v>44159</v>
      </c>
      <c r="I25" s="154">
        <v>33359.61</v>
      </c>
      <c r="J25" s="154">
        <v>29740.73</v>
      </c>
      <c r="K25" s="161">
        <v>33094.53</v>
      </c>
      <c r="L25" s="154">
        <f t="shared" si="0"/>
        <v>2020</v>
      </c>
      <c r="T25" s="154" t="s">
        <v>377</v>
      </c>
      <c r="U25" s="154">
        <v>331.56</v>
      </c>
      <c r="V25" s="154">
        <v>381.29</v>
      </c>
      <c r="W25" s="154">
        <v>100.43</v>
      </c>
      <c r="X25" s="154">
        <v>115.49</v>
      </c>
      <c r="Y25" s="154">
        <v>54.54</v>
      </c>
      <c r="Z25" s="154">
        <v>62.72</v>
      </c>
      <c r="AA25" s="154">
        <v>108.17</v>
      </c>
      <c r="AB25" s="154">
        <v>124.4</v>
      </c>
      <c r="AC25" s="154">
        <v>74.44</v>
      </c>
      <c r="AD25" s="154">
        <v>85.61</v>
      </c>
      <c r="AE25" s="154">
        <v>47.22</v>
      </c>
      <c r="AF25" s="154">
        <v>54.3</v>
      </c>
      <c r="AG25" s="239">
        <v>8.8000000000000007</v>
      </c>
      <c r="AH25" s="239">
        <v>10.119999999999999</v>
      </c>
    </row>
    <row r="26" spans="8:34" x14ac:dyDescent="0.25">
      <c r="H26" s="235">
        <v>44149</v>
      </c>
      <c r="I26" s="154">
        <v>31019.68</v>
      </c>
      <c r="J26" s="154">
        <v>28608.06</v>
      </c>
      <c r="K26" s="161">
        <v>30007.9</v>
      </c>
      <c r="L26" s="154">
        <f t="shared" si="0"/>
        <v>2020</v>
      </c>
      <c r="T26" s="154" t="s">
        <v>378</v>
      </c>
      <c r="U26" s="154">
        <v>321.01</v>
      </c>
      <c r="V26" s="154">
        <v>369.16</v>
      </c>
      <c r="W26" s="154">
        <v>97.23</v>
      </c>
      <c r="X26" s="154">
        <v>111.81</v>
      </c>
      <c r="Y26" s="154">
        <v>52.79</v>
      </c>
      <c r="Z26" s="154">
        <v>60.71</v>
      </c>
      <c r="AA26" s="154">
        <v>104.71</v>
      </c>
      <c r="AB26" s="154">
        <v>120.42</v>
      </c>
      <c r="AC26" s="154">
        <v>72.069999999999993</v>
      </c>
      <c r="AD26" s="154">
        <v>82.88</v>
      </c>
      <c r="AE26" s="154">
        <v>45.72</v>
      </c>
      <c r="AF26" s="154">
        <v>52.58</v>
      </c>
      <c r="AG26" s="239">
        <v>8.5500000000000007</v>
      </c>
      <c r="AH26" s="239">
        <v>9.83</v>
      </c>
    </row>
    <row r="27" spans="8:34" x14ac:dyDescent="0.25">
      <c r="H27" s="235">
        <v>44139</v>
      </c>
      <c r="I27" s="154">
        <v>29421.15</v>
      </c>
      <c r="J27" s="154">
        <v>27331.03</v>
      </c>
      <c r="K27" s="161">
        <v>28755.31</v>
      </c>
      <c r="L27" s="154">
        <f t="shared" si="0"/>
        <v>2020</v>
      </c>
      <c r="T27" s="154" t="s">
        <v>379</v>
      </c>
      <c r="U27" s="154">
        <v>302.60000000000002</v>
      </c>
      <c r="V27" s="154">
        <v>347.99</v>
      </c>
      <c r="W27" s="154">
        <v>91.68</v>
      </c>
      <c r="X27" s="154">
        <v>105.43</v>
      </c>
      <c r="Y27" s="154">
        <v>49.75</v>
      </c>
      <c r="Z27" s="154">
        <v>57.21</v>
      </c>
      <c r="AA27" s="154">
        <v>98.69</v>
      </c>
      <c r="AB27" s="154">
        <v>113.49</v>
      </c>
      <c r="AC27" s="154">
        <v>67.92</v>
      </c>
      <c r="AD27" s="154">
        <v>78.11</v>
      </c>
      <c r="AE27" s="154">
        <v>43.08</v>
      </c>
      <c r="AF27" s="154">
        <v>49.54</v>
      </c>
      <c r="AG27" s="239">
        <v>10.83</v>
      </c>
      <c r="AH27" s="239">
        <v>12.45</v>
      </c>
    </row>
    <row r="28" spans="8:34" x14ac:dyDescent="0.25">
      <c r="H28" s="235">
        <v>44129</v>
      </c>
      <c r="I28" s="154">
        <v>29331.13</v>
      </c>
      <c r="J28" s="154">
        <v>27037.97</v>
      </c>
      <c r="K28" s="161">
        <v>28240.57</v>
      </c>
      <c r="L28" s="154">
        <f t="shared" si="0"/>
        <v>2020</v>
      </c>
    </row>
    <row r="29" spans="8:34" x14ac:dyDescent="0.25">
      <c r="H29" s="235">
        <v>44119</v>
      </c>
      <c r="I29" s="154">
        <v>29592.03</v>
      </c>
      <c r="J29" s="154">
        <v>27108.22</v>
      </c>
      <c r="K29" s="161">
        <v>29214.58</v>
      </c>
      <c r="L29" s="154">
        <f t="shared" si="0"/>
        <v>2020</v>
      </c>
    </row>
    <row r="30" spans="8:34" x14ac:dyDescent="0.25">
      <c r="H30" s="235">
        <v>44109</v>
      </c>
      <c r="I30" s="154">
        <v>29074.720000000001</v>
      </c>
      <c r="J30" s="154">
        <v>27378.77</v>
      </c>
      <c r="K30" s="161">
        <v>27661.7</v>
      </c>
      <c r="L30" s="154">
        <f t="shared" si="0"/>
        <v>2020</v>
      </c>
      <c r="Q30" s="154" t="s">
        <v>381</v>
      </c>
    </row>
    <row r="31" spans="8:34" x14ac:dyDescent="0.25">
      <c r="H31" s="235">
        <v>44099</v>
      </c>
      <c r="I31" s="154">
        <v>29325.82</v>
      </c>
      <c r="J31" s="154">
        <v>26865.65</v>
      </c>
      <c r="K31" s="161">
        <v>28490.38</v>
      </c>
      <c r="L31" s="154">
        <f t="shared" si="0"/>
        <v>2020</v>
      </c>
    </row>
    <row r="32" spans="8:34" x14ac:dyDescent="0.25">
      <c r="H32" s="235">
        <v>44089</v>
      </c>
      <c r="I32" s="154">
        <v>31614.79</v>
      </c>
      <c r="J32" s="154">
        <v>26634.48</v>
      </c>
      <c r="K32" s="161">
        <v>27375.88</v>
      </c>
      <c r="L32" s="154">
        <f t="shared" si="0"/>
        <v>2020</v>
      </c>
    </row>
    <row r="33" spans="8:25" x14ac:dyDescent="0.25">
      <c r="H33" s="235">
        <v>44079</v>
      </c>
      <c r="I33" s="154">
        <v>30911.93</v>
      </c>
      <c r="J33" s="154">
        <v>28681.200000000001</v>
      </c>
      <c r="K33" s="161">
        <v>30873.56</v>
      </c>
      <c r="L33" s="154">
        <f t="shared" si="0"/>
        <v>2020</v>
      </c>
    </row>
    <row r="34" spans="8:25" x14ac:dyDescent="0.25">
      <c r="H34" s="235">
        <v>44069</v>
      </c>
      <c r="I34" s="154">
        <v>30957.95</v>
      </c>
      <c r="J34" s="154">
        <v>28469.49</v>
      </c>
      <c r="K34" s="161">
        <v>29163.94</v>
      </c>
      <c r="L34" s="154">
        <f t="shared" si="0"/>
        <v>2020</v>
      </c>
      <c r="X34" s="154">
        <v>11739</v>
      </c>
      <c r="Y34" s="154" t="s">
        <v>382</v>
      </c>
    </row>
    <row r="35" spans="8:25" x14ac:dyDescent="0.25">
      <c r="H35" s="235">
        <v>44059</v>
      </c>
      <c r="I35" s="154">
        <v>31393.599999999999</v>
      </c>
      <c r="J35" s="154">
        <v>28834.560000000001</v>
      </c>
      <c r="K35" s="161">
        <v>29995.52</v>
      </c>
      <c r="L35" s="154">
        <f t="shared" si="0"/>
        <v>2020</v>
      </c>
      <c r="X35" s="233">
        <f>(X34/28.39)*1000</f>
        <v>413490.66572736879</v>
      </c>
      <c r="Y35" s="154" t="s">
        <v>383</v>
      </c>
    </row>
    <row r="36" spans="8:25" x14ac:dyDescent="0.25">
      <c r="H36" s="235">
        <v>44049</v>
      </c>
      <c r="I36" s="154">
        <v>32486.880000000001</v>
      </c>
      <c r="J36" s="154">
        <v>29500.560000000001</v>
      </c>
      <c r="K36" s="161">
        <v>30427.31</v>
      </c>
      <c r="L36" s="154">
        <f t="shared" si="0"/>
        <v>2020</v>
      </c>
    </row>
    <row r="37" spans="8:25" x14ac:dyDescent="0.25">
      <c r="H37" s="235">
        <v>44039</v>
      </c>
      <c r="I37" s="154">
        <v>31659.64</v>
      </c>
      <c r="J37" s="154">
        <v>28360.5</v>
      </c>
      <c r="K37" s="161">
        <v>31120.959999999999</v>
      </c>
      <c r="L37" s="154">
        <f t="shared" si="0"/>
        <v>2020</v>
      </c>
    </row>
    <row r="38" spans="8:25" x14ac:dyDescent="0.25">
      <c r="H38" s="235">
        <v>44029</v>
      </c>
      <c r="I38" s="154">
        <v>30030.57</v>
      </c>
      <c r="J38" s="154">
        <v>26438.68</v>
      </c>
      <c r="K38" s="161">
        <v>29950.19</v>
      </c>
      <c r="L38" s="154">
        <f t="shared" si="0"/>
        <v>2020</v>
      </c>
    </row>
    <row r="39" spans="8:25" x14ac:dyDescent="0.25">
      <c r="H39" s="235">
        <v>44019</v>
      </c>
      <c r="I39" s="154">
        <v>27722.95</v>
      </c>
      <c r="J39" s="154">
        <v>26238.87</v>
      </c>
      <c r="K39" s="161">
        <v>26499.93</v>
      </c>
      <c r="L39" s="154">
        <f t="shared" si="0"/>
        <v>2020</v>
      </c>
    </row>
    <row r="40" spans="8:25" x14ac:dyDescent="0.25">
      <c r="H40" s="235">
        <v>44009</v>
      </c>
      <c r="I40" s="154">
        <v>26955.03</v>
      </c>
      <c r="J40" s="154">
        <v>25815.119999999999</v>
      </c>
      <c r="K40" s="161">
        <v>26593.49</v>
      </c>
      <c r="L40" s="154">
        <f t="shared" si="0"/>
        <v>2020</v>
      </c>
    </row>
    <row r="41" spans="8:25" x14ac:dyDescent="0.25">
      <c r="H41" s="235">
        <v>43999</v>
      </c>
      <c r="I41" s="154">
        <v>27015.63</v>
      </c>
      <c r="J41" s="154">
        <v>25458.57</v>
      </c>
      <c r="K41" s="161">
        <v>26082.61</v>
      </c>
      <c r="L41" s="154">
        <f t="shared" si="0"/>
        <v>2020</v>
      </c>
    </row>
    <row r="42" spans="8:25" x14ac:dyDescent="0.25">
      <c r="H42" s="235">
        <v>43989</v>
      </c>
      <c r="I42" s="154">
        <v>27277.98</v>
      </c>
      <c r="J42" s="154">
        <v>25363.88</v>
      </c>
      <c r="K42" s="161">
        <v>26611.17</v>
      </c>
      <c r="L42" s="154">
        <f t="shared" si="0"/>
        <v>2020</v>
      </c>
    </row>
    <row r="43" spans="8:25" x14ac:dyDescent="0.25">
      <c r="H43" s="235">
        <v>43979</v>
      </c>
      <c r="I43" s="154">
        <v>27792.55</v>
      </c>
      <c r="J43" s="154">
        <v>25966.39</v>
      </c>
      <c r="K43" s="161">
        <v>26389.17</v>
      </c>
      <c r="L43" s="154">
        <f t="shared" si="0"/>
        <v>2020</v>
      </c>
    </row>
    <row r="44" spans="8:25" x14ac:dyDescent="0.25">
      <c r="H44" s="235">
        <v>43969</v>
      </c>
      <c r="I44" s="154">
        <v>27726.799999999999</v>
      </c>
      <c r="J44" s="154">
        <v>25868.73</v>
      </c>
      <c r="K44" s="161">
        <v>26984.12</v>
      </c>
      <c r="L44" s="154">
        <f t="shared" si="0"/>
        <v>2020</v>
      </c>
    </row>
    <row r="45" spans="8:25" x14ac:dyDescent="0.25">
      <c r="H45" s="235">
        <v>43959</v>
      </c>
      <c r="I45" s="154">
        <v>26234.16</v>
      </c>
      <c r="J45" s="154">
        <v>24143.599999999999</v>
      </c>
      <c r="K45" s="161">
        <v>26021.05</v>
      </c>
      <c r="L45" s="154">
        <f t="shared" si="0"/>
        <v>2020</v>
      </c>
    </row>
    <row r="46" spans="8:25" x14ac:dyDescent="0.25">
      <c r="H46" s="235">
        <v>43949</v>
      </c>
      <c r="I46" s="154">
        <v>25665.46</v>
      </c>
      <c r="J46" s="154">
        <v>24059.85</v>
      </c>
      <c r="K46" s="161">
        <v>24690.17</v>
      </c>
      <c r="L46" s="154">
        <f t="shared" si="0"/>
        <v>2020</v>
      </c>
    </row>
    <row r="47" spans="8:25" x14ac:dyDescent="0.25">
      <c r="H47" s="235">
        <v>43939</v>
      </c>
      <c r="I47" s="154">
        <v>25328.36</v>
      </c>
      <c r="J47" s="154">
        <v>22918.5</v>
      </c>
      <c r="K47" s="161">
        <v>24509.58</v>
      </c>
      <c r="L47" s="154">
        <f t="shared" si="0"/>
        <v>2020</v>
      </c>
    </row>
    <row r="48" spans="8:25" x14ac:dyDescent="0.25">
      <c r="H48" s="235">
        <v>43929</v>
      </c>
      <c r="I48" s="154">
        <v>25657.9</v>
      </c>
      <c r="J48" s="154">
        <v>23346.1</v>
      </c>
      <c r="K48" s="161">
        <v>24965.05</v>
      </c>
      <c r="L48" s="154">
        <f t="shared" si="0"/>
        <v>2020</v>
      </c>
    </row>
    <row r="49" spans="8:12" x14ac:dyDescent="0.25">
      <c r="H49" s="235">
        <v>43919</v>
      </c>
      <c r="I49" s="154">
        <v>24134.33</v>
      </c>
      <c r="J49" s="154">
        <v>22633.48</v>
      </c>
      <c r="K49" s="161">
        <v>23801.68</v>
      </c>
      <c r="L49" s="154">
        <f t="shared" si="0"/>
        <v>2020</v>
      </c>
    </row>
    <row r="50" spans="8:12" x14ac:dyDescent="0.25">
      <c r="H50" s="235">
        <v>43909</v>
      </c>
      <c r="I50" s="154">
        <v>24330.5</v>
      </c>
      <c r="J50" s="154">
        <v>18825.79</v>
      </c>
      <c r="K50" s="161">
        <v>24019.98</v>
      </c>
      <c r="L50" s="154">
        <f t="shared" si="0"/>
        <v>2020</v>
      </c>
    </row>
    <row r="51" spans="8:12" x14ac:dyDescent="0.25">
      <c r="H51" s="235">
        <v>43899</v>
      </c>
      <c r="I51" s="154">
        <v>28982.85</v>
      </c>
      <c r="J51" s="154">
        <v>18379.259999999998</v>
      </c>
      <c r="K51" s="161">
        <v>20658.14</v>
      </c>
      <c r="L51" s="154">
        <f t="shared" si="0"/>
        <v>2020</v>
      </c>
    </row>
    <row r="52" spans="8:12" x14ac:dyDescent="0.25">
      <c r="H52" s="235">
        <v>43889</v>
      </c>
      <c r="I52" s="154">
        <v>29460.13</v>
      </c>
      <c r="J52" s="154">
        <v>27317.360000000001</v>
      </c>
      <c r="K52" s="161">
        <v>28907.62</v>
      </c>
      <c r="L52" s="154">
        <f t="shared" si="0"/>
        <v>2020</v>
      </c>
    </row>
    <row r="53" spans="8:12" x14ac:dyDescent="0.25">
      <c r="H53" s="235">
        <v>43879</v>
      </c>
      <c r="I53" s="154">
        <v>32754.86</v>
      </c>
      <c r="J53" s="154">
        <v>28893.88</v>
      </c>
      <c r="K53" s="161">
        <v>29051.09</v>
      </c>
      <c r="L53" s="154">
        <f t="shared" si="0"/>
        <v>2020</v>
      </c>
    </row>
    <row r="54" spans="8:12" x14ac:dyDescent="0.25">
      <c r="H54" s="235">
        <v>43869</v>
      </c>
      <c r="I54" s="154">
        <v>31411.439999999999</v>
      </c>
      <c r="J54" s="154">
        <v>30682.74</v>
      </c>
      <c r="K54" s="161">
        <v>31218.21</v>
      </c>
      <c r="L54" s="154">
        <f t="shared" si="0"/>
        <v>2020</v>
      </c>
    </row>
    <row r="55" spans="8:12" x14ac:dyDescent="0.25">
      <c r="H55" s="235">
        <v>43859</v>
      </c>
      <c r="I55" s="154">
        <v>32070.53</v>
      </c>
      <c r="J55" s="154">
        <v>30610.89</v>
      </c>
      <c r="K55" s="161">
        <v>31126.1</v>
      </c>
      <c r="L55" s="154">
        <f t="shared" si="0"/>
        <v>2020</v>
      </c>
    </row>
    <row r="56" spans="8:12" x14ac:dyDescent="0.25">
      <c r="H56" s="235">
        <v>43849</v>
      </c>
      <c r="I56" s="154">
        <v>33145.33</v>
      </c>
      <c r="J56" s="154">
        <v>31535.86</v>
      </c>
      <c r="K56" s="161">
        <v>31761.72</v>
      </c>
      <c r="L56" s="154">
        <f t="shared" si="0"/>
        <v>2020</v>
      </c>
    </row>
    <row r="57" spans="8:12" x14ac:dyDescent="0.25">
      <c r="H57" s="235">
        <v>43839</v>
      </c>
      <c r="I57" s="154">
        <v>33492.720000000001</v>
      </c>
      <c r="J57" s="154">
        <v>30486.46</v>
      </c>
      <c r="K57" s="161">
        <v>32899.54</v>
      </c>
      <c r="L57" s="154">
        <f t="shared" si="0"/>
        <v>2020</v>
      </c>
    </row>
    <row r="58" spans="8:12" x14ac:dyDescent="0.25">
      <c r="H58" s="235">
        <v>43829</v>
      </c>
      <c r="I58" s="154">
        <v>32013.3</v>
      </c>
      <c r="J58" s="154">
        <v>30483.73</v>
      </c>
      <c r="K58" s="161">
        <v>30739.81</v>
      </c>
      <c r="L58" s="154">
        <f t="shared" si="0"/>
        <v>2019</v>
      </c>
    </row>
    <row r="59" spans="8:12" x14ac:dyDescent="0.25">
      <c r="H59" s="235">
        <v>43819</v>
      </c>
      <c r="I59" s="154">
        <v>30929.5</v>
      </c>
      <c r="J59" s="154">
        <v>29241.1</v>
      </c>
      <c r="K59" s="161">
        <v>30538.39</v>
      </c>
      <c r="L59" s="154">
        <f t="shared" si="0"/>
        <v>2019</v>
      </c>
    </row>
    <row r="60" spans="8:12" x14ac:dyDescent="0.25">
      <c r="H60" s="235">
        <v>43809</v>
      </c>
      <c r="I60" s="154">
        <v>30512.67</v>
      </c>
      <c r="J60" s="154">
        <v>28758.2</v>
      </c>
      <c r="K60" s="161">
        <v>30051.46</v>
      </c>
      <c r="L60" s="154">
        <f t="shared" si="0"/>
        <v>2019</v>
      </c>
    </row>
    <row r="61" spans="8:12" x14ac:dyDescent="0.25">
      <c r="H61" s="235">
        <v>43799</v>
      </c>
      <c r="I61" s="154">
        <v>29457.48</v>
      </c>
      <c r="J61" s="154">
        <v>28436.37</v>
      </c>
      <c r="K61" s="161">
        <v>28773.31</v>
      </c>
      <c r="L61" s="154">
        <f t="shared" si="0"/>
        <v>2019</v>
      </c>
    </row>
    <row r="62" spans="8:12" x14ac:dyDescent="0.25">
      <c r="H62" s="235">
        <v>43789</v>
      </c>
      <c r="I62" s="154">
        <v>29810.82</v>
      </c>
      <c r="J62" s="154">
        <v>28489.58</v>
      </c>
      <c r="K62" s="161">
        <v>28815.59</v>
      </c>
      <c r="L62" s="154">
        <f t="shared" si="0"/>
        <v>2019</v>
      </c>
    </row>
    <row r="63" spans="8:12" x14ac:dyDescent="0.25">
      <c r="H63" s="235">
        <v>43779</v>
      </c>
      <c r="I63" s="154">
        <v>29344.95</v>
      </c>
      <c r="J63" s="154">
        <v>27844.31</v>
      </c>
      <c r="K63" s="161">
        <v>29272.77</v>
      </c>
      <c r="L63" s="154">
        <f t="shared" si="0"/>
        <v>2019</v>
      </c>
    </row>
    <row r="64" spans="8:12" x14ac:dyDescent="0.25">
      <c r="H64" s="235">
        <v>43769</v>
      </c>
      <c r="I64" s="154">
        <v>30730.01</v>
      </c>
      <c r="J64" s="154">
        <v>28517.87</v>
      </c>
      <c r="K64" s="161">
        <v>28530.57</v>
      </c>
      <c r="L64" s="154">
        <f t="shared" si="0"/>
        <v>2019</v>
      </c>
    </row>
    <row r="65" spans="8:12" x14ac:dyDescent="0.25">
      <c r="H65" s="235">
        <v>43759</v>
      </c>
      <c r="I65" s="154">
        <v>30189.55</v>
      </c>
      <c r="J65" s="154">
        <v>28439.43</v>
      </c>
      <c r="K65" s="161">
        <v>29717.9</v>
      </c>
      <c r="L65" s="154">
        <f t="shared" si="0"/>
        <v>2019</v>
      </c>
    </row>
    <row r="66" spans="8:12" x14ac:dyDescent="0.25">
      <c r="H66" s="235">
        <v>43749</v>
      </c>
      <c r="I66" s="154">
        <v>29116.68</v>
      </c>
      <c r="J66" s="154">
        <v>28170.48</v>
      </c>
      <c r="K66" s="161">
        <v>28660.14</v>
      </c>
      <c r="L66" s="154">
        <f t="shared" si="0"/>
        <v>2019</v>
      </c>
    </row>
    <row r="67" spans="8:12" x14ac:dyDescent="0.25">
      <c r="H67" s="235">
        <v>43739</v>
      </c>
      <c r="I67" s="154">
        <v>29048.52</v>
      </c>
      <c r="J67" s="154">
        <v>27993.66</v>
      </c>
      <c r="K67" s="161">
        <v>28915.74</v>
      </c>
      <c r="L67" s="154">
        <f t="shared" si="0"/>
        <v>2019</v>
      </c>
    </row>
    <row r="68" spans="8:12" x14ac:dyDescent="0.25">
      <c r="H68" s="235">
        <v>43729</v>
      </c>
      <c r="I68" s="154">
        <v>30975.32</v>
      </c>
      <c r="J68" s="154">
        <v>28144.76</v>
      </c>
      <c r="K68" s="161">
        <v>28506.62</v>
      </c>
      <c r="L68" s="154">
        <f t="shared" si="0"/>
        <v>2019</v>
      </c>
    </row>
    <row r="69" spans="8:12" x14ac:dyDescent="0.25">
      <c r="H69" s="235">
        <v>43719</v>
      </c>
      <c r="I69" s="154">
        <v>31012.29</v>
      </c>
      <c r="J69" s="154">
        <v>29630.29</v>
      </c>
      <c r="K69" s="161">
        <v>30414.61</v>
      </c>
      <c r="L69" s="154">
        <f t="shared" si="0"/>
        <v>2019</v>
      </c>
    </row>
    <row r="70" spans="8:12" x14ac:dyDescent="0.25">
      <c r="H70" s="235">
        <v>43709</v>
      </c>
      <c r="I70" s="154">
        <v>32082.59</v>
      </c>
      <c r="J70" s="154">
        <v>29733.17</v>
      </c>
      <c r="K70" s="161">
        <v>29977.52</v>
      </c>
      <c r="L70" s="154">
        <f t="shared" si="0"/>
        <v>2019</v>
      </c>
    </row>
    <row r="71" spans="8:12" x14ac:dyDescent="0.25">
      <c r="H71" s="235">
        <v>43699</v>
      </c>
      <c r="I71" s="154">
        <v>30300.63</v>
      </c>
      <c r="J71" s="154">
        <v>27229.19</v>
      </c>
      <c r="K71" s="161">
        <v>30060.14</v>
      </c>
      <c r="L71" s="154">
        <f t="shared" si="0"/>
        <v>2019</v>
      </c>
    </row>
    <row r="72" spans="8:12" x14ac:dyDescent="0.25">
      <c r="H72" s="235">
        <v>43689</v>
      </c>
      <c r="I72" s="154">
        <v>27930.080000000002</v>
      </c>
      <c r="J72" s="154">
        <v>26823.21</v>
      </c>
      <c r="K72" s="161">
        <v>27479.56</v>
      </c>
      <c r="L72" s="154">
        <f t="shared" ref="L72:L135" si="1">YEAR(H72)</f>
        <v>2019</v>
      </c>
    </row>
    <row r="73" spans="8:12" x14ac:dyDescent="0.25">
      <c r="H73" s="235">
        <v>43679</v>
      </c>
      <c r="I73" s="154">
        <v>28025</v>
      </c>
      <c r="J73" s="154">
        <v>27132.18</v>
      </c>
      <c r="K73" s="161">
        <v>27749.39</v>
      </c>
      <c r="L73" s="154">
        <f t="shared" si="1"/>
        <v>2019</v>
      </c>
    </row>
    <row r="74" spans="8:12" x14ac:dyDescent="0.25">
      <c r="H74" s="235">
        <v>43669</v>
      </c>
      <c r="I74" s="154">
        <v>28534.59</v>
      </c>
      <c r="J74" s="154">
        <v>27137.8</v>
      </c>
      <c r="K74" s="161">
        <v>27494.6</v>
      </c>
      <c r="L74" s="154">
        <f t="shared" si="1"/>
        <v>2019</v>
      </c>
    </row>
    <row r="75" spans="8:12" x14ac:dyDescent="0.25">
      <c r="H75" s="235">
        <v>43659</v>
      </c>
      <c r="I75" s="154">
        <v>27759.439999999999</v>
      </c>
      <c r="J75" s="154">
        <v>26711.8</v>
      </c>
      <c r="K75" s="161">
        <v>27294.78</v>
      </c>
      <c r="L75" s="154">
        <f t="shared" si="1"/>
        <v>2019</v>
      </c>
    </row>
    <row r="76" spans="8:12" x14ac:dyDescent="0.25">
      <c r="H76" s="235">
        <v>43649</v>
      </c>
      <c r="I76" s="154">
        <v>27193.42</v>
      </c>
      <c r="J76" s="154">
        <v>25923.79</v>
      </c>
      <c r="K76" s="161">
        <v>26776.11</v>
      </c>
      <c r="L76" s="154">
        <f t="shared" si="1"/>
        <v>2019</v>
      </c>
    </row>
    <row r="77" spans="8:12" x14ac:dyDescent="0.25">
      <c r="H77" s="235">
        <v>43639</v>
      </c>
      <c r="I77" s="154">
        <v>27302.9</v>
      </c>
      <c r="J77" s="154">
        <v>25870.98</v>
      </c>
      <c r="K77" s="161">
        <v>26868.86</v>
      </c>
      <c r="L77" s="154">
        <f t="shared" si="1"/>
        <v>2019</v>
      </c>
    </row>
    <row r="78" spans="8:12" x14ac:dyDescent="0.25">
      <c r="H78" s="235">
        <v>43629</v>
      </c>
      <c r="I78" s="154">
        <v>26509.98</v>
      </c>
      <c r="J78" s="154">
        <v>25440.16</v>
      </c>
      <c r="K78" s="161">
        <v>26038.09</v>
      </c>
      <c r="L78" s="154">
        <f t="shared" si="1"/>
        <v>2019</v>
      </c>
    </row>
    <row r="79" spans="8:12" x14ac:dyDescent="0.25">
      <c r="H79" s="235">
        <v>43619</v>
      </c>
      <c r="I79" s="154">
        <v>26792.66</v>
      </c>
      <c r="J79" s="154">
        <v>25570.61</v>
      </c>
      <c r="K79" s="161">
        <v>26099.57</v>
      </c>
      <c r="L79" s="154">
        <f t="shared" si="1"/>
        <v>2019</v>
      </c>
    </row>
    <row r="80" spans="8:12" x14ac:dyDescent="0.25">
      <c r="H80" s="235">
        <v>43609</v>
      </c>
      <c r="I80" s="154">
        <v>26281.31</v>
      </c>
      <c r="J80" s="154">
        <v>25374.41</v>
      </c>
      <c r="K80" s="161">
        <v>25581.71</v>
      </c>
      <c r="L80" s="154">
        <f t="shared" si="1"/>
        <v>2019</v>
      </c>
    </row>
    <row r="81" spans="8:12" x14ac:dyDescent="0.25">
      <c r="H81" s="235">
        <v>43599</v>
      </c>
      <c r="I81" s="154">
        <v>27849.62</v>
      </c>
      <c r="J81" s="154">
        <v>25610</v>
      </c>
      <c r="K81" s="161">
        <v>25762.47</v>
      </c>
      <c r="L81" s="154">
        <f t="shared" si="1"/>
        <v>2019</v>
      </c>
    </row>
    <row r="82" spans="8:12" x14ac:dyDescent="0.25">
      <c r="H82" s="235">
        <v>43589</v>
      </c>
      <c r="I82" s="154">
        <v>28436.61</v>
      </c>
      <c r="J82" s="154">
        <v>27234.33</v>
      </c>
      <c r="K82" s="161">
        <v>27620.95</v>
      </c>
      <c r="L82" s="154">
        <f t="shared" si="1"/>
        <v>2019</v>
      </c>
    </row>
    <row r="83" spans="8:12" x14ac:dyDescent="0.25">
      <c r="H83" s="235">
        <v>43579</v>
      </c>
      <c r="I83" s="154">
        <v>28965.33</v>
      </c>
      <c r="J83" s="154">
        <v>27152.27</v>
      </c>
      <c r="K83" s="161">
        <v>28031.91</v>
      </c>
      <c r="L83" s="154">
        <f t="shared" si="1"/>
        <v>2019</v>
      </c>
    </row>
    <row r="84" spans="8:12" x14ac:dyDescent="0.25">
      <c r="H84" s="235">
        <v>43569</v>
      </c>
      <c r="I84" s="154">
        <v>29354.36</v>
      </c>
      <c r="J84" s="154">
        <v>28197.57</v>
      </c>
      <c r="K84" s="161">
        <v>28585.31</v>
      </c>
      <c r="L84" s="154">
        <f t="shared" si="1"/>
        <v>2019</v>
      </c>
    </row>
    <row r="85" spans="8:12" x14ac:dyDescent="0.25">
      <c r="H85" s="235">
        <v>43559</v>
      </c>
      <c r="I85" s="154">
        <v>29436.66</v>
      </c>
      <c r="J85" s="154">
        <v>27979.67</v>
      </c>
      <c r="K85" s="161">
        <v>28647.759999999998</v>
      </c>
      <c r="L85" s="154">
        <f t="shared" si="1"/>
        <v>2019</v>
      </c>
    </row>
    <row r="86" spans="8:12" x14ac:dyDescent="0.25">
      <c r="H86" s="235">
        <v>43549</v>
      </c>
      <c r="I86" s="154">
        <v>28054.34</v>
      </c>
      <c r="J86" s="154">
        <v>26816.86</v>
      </c>
      <c r="K86" s="161">
        <v>28005.31</v>
      </c>
      <c r="L86" s="154">
        <f t="shared" si="1"/>
        <v>2019</v>
      </c>
    </row>
    <row r="87" spans="8:12" x14ac:dyDescent="0.25">
      <c r="H87" s="235">
        <v>43539</v>
      </c>
      <c r="I87" s="154">
        <v>28154.49</v>
      </c>
      <c r="J87" s="154">
        <v>26475.98</v>
      </c>
      <c r="K87" s="161">
        <v>27143.51</v>
      </c>
      <c r="L87" s="154">
        <f t="shared" si="1"/>
        <v>2019</v>
      </c>
    </row>
    <row r="88" spans="8:12" x14ac:dyDescent="0.25">
      <c r="H88" s="235">
        <v>43529</v>
      </c>
      <c r="I88" s="154">
        <v>27279.19</v>
      </c>
      <c r="J88" s="154">
        <v>26018.560000000001</v>
      </c>
      <c r="K88" s="161">
        <v>26498.48</v>
      </c>
      <c r="L88" s="154">
        <f t="shared" si="1"/>
        <v>2019</v>
      </c>
    </row>
    <row r="89" spans="8:12" x14ac:dyDescent="0.25">
      <c r="H89" s="235">
        <v>43519</v>
      </c>
      <c r="I89" s="154">
        <v>28200.3</v>
      </c>
      <c r="J89" s="154">
        <v>26858.65</v>
      </c>
      <c r="K89" s="161">
        <v>26974.560000000001</v>
      </c>
      <c r="L89" s="154">
        <f t="shared" si="1"/>
        <v>2019</v>
      </c>
    </row>
    <row r="90" spans="8:12" x14ac:dyDescent="0.25">
      <c r="H90" s="235">
        <v>43509</v>
      </c>
      <c r="I90" s="154">
        <v>27179.200000000001</v>
      </c>
      <c r="J90" s="154">
        <v>25083.77</v>
      </c>
      <c r="K90" s="161">
        <v>27103.32</v>
      </c>
      <c r="L90" s="154">
        <f t="shared" si="1"/>
        <v>2019</v>
      </c>
    </row>
    <row r="91" spans="8:12" x14ac:dyDescent="0.25">
      <c r="H91" s="235">
        <v>43499</v>
      </c>
      <c r="I91" s="154">
        <v>26556.2</v>
      </c>
      <c r="J91" s="154">
        <v>25222.58</v>
      </c>
      <c r="K91" s="161">
        <v>25481.88</v>
      </c>
      <c r="L91" s="154">
        <f t="shared" si="1"/>
        <v>2019</v>
      </c>
    </row>
    <row r="92" spans="8:12" x14ac:dyDescent="0.25">
      <c r="H92" s="235">
        <v>43489</v>
      </c>
      <c r="I92" s="154">
        <v>26778.36</v>
      </c>
      <c r="J92" s="154">
        <v>25420.47</v>
      </c>
      <c r="K92" s="161">
        <v>26499.53</v>
      </c>
      <c r="L92" s="154">
        <f t="shared" si="1"/>
        <v>2019</v>
      </c>
    </row>
    <row r="93" spans="8:12" x14ac:dyDescent="0.25">
      <c r="H93" s="235">
        <v>43479</v>
      </c>
      <c r="I93" s="154">
        <v>26246.5</v>
      </c>
      <c r="J93" s="154">
        <v>25317.19</v>
      </c>
      <c r="K93" s="161">
        <v>25591.27</v>
      </c>
      <c r="L93" s="154">
        <f t="shared" si="1"/>
        <v>2019</v>
      </c>
    </row>
    <row r="94" spans="8:12" x14ac:dyDescent="0.25">
      <c r="H94" s="235">
        <v>43469</v>
      </c>
      <c r="I94" s="154">
        <v>26723.54</v>
      </c>
      <c r="J94" s="154">
        <v>25628.25</v>
      </c>
      <c r="K94" s="161">
        <v>26081.65</v>
      </c>
      <c r="L94" s="154">
        <f t="shared" si="1"/>
        <v>2019</v>
      </c>
    </row>
    <row r="95" spans="8:12" x14ac:dyDescent="0.25">
      <c r="H95" s="235">
        <v>43459</v>
      </c>
      <c r="I95" s="154">
        <v>25800.57</v>
      </c>
      <c r="J95" s="154">
        <v>25199.19</v>
      </c>
      <c r="K95" s="161">
        <v>25705.89</v>
      </c>
      <c r="L95" s="154">
        <f t="shared" si="1"/>
        <v>2018</v>
      </c>
    </row>
    <row r="96" spans="8:12" x14ac:dyDescent="0.25">
      <c r="H96" s="235">
        <v>43449</v>
      </c>
      <c r="I96" s="154">
        <v>25690.46</v>
      </c>
      <c r="J96" s="154">
        <v>25178.54</v>
      </c>
      <c r="K96" s="161">
        <v>25265.18</v>
      </c>
      <c r="L96" s="154">
        <f t="shared" si="1"/>
        <v>2018</v>
      </c>
    </row>
    <row r="97" spans="8:12" x14ac:dyDescent="0.25">
      <c r="H97" s="235">
        <v>43439</v>
      </c>
      <c r="I97" s="154">
        <v>25975.87</v>
      </c>
      <c r="J97" s="154">
        <v>25032.41</v>
      </c>
      <c r="K97" s="161">
        <v>25313.81</v>
      </c>
      <c r="L97" s="154">
        <f t="shared" si="1"/>
        <v>2018</v>
      </c>
    </row>
    <row r="98" spans="8:12" x14ac:dyDescent="0.25">
      <c r="H98" s="235">
        <v>43429</v>
      </c>
      <c r="I98" s="154">
        <v>27306.67</v>
      </c>
      <c r="J98" s="154">
        <v>25643.68</v>
      </c>
      <c r="K98" s="161">
        <v>25827.5</v>
      </c>
      <c r="L98" s="154">
        <f t="shared" si="1"/>
        <v>2018</v>
      </c>
    </row>
    <row r="99" spans="8:12" x14ac:dyDescent="0.25">
      <c r="H99" s="235">
        <v>43419</v>
      </c>
      <c r="I99" s="154">
        <v>27510.99</v>
      </c>
      <c r="J99" s="154">
        <v>26696.45</v>
      </c>
      <c r="K99" s="161">
        <v>27127.919999999998</v>
      </c>
      <c r="L99" s="154">
        <f t="shared" si="1"/>
        <v>2018</v>
      </c>
    </row>
    <row r="100" spans="8:12" x14ac:dyDescent="0.25">
      <c r="H100" s="235">
        <v>43409</v>
      </c>
      <c r="I100" s="154">
        <v>28218.07</v>
      </c>
      <c r="J100" s="154">
        <v>26586.66</v>
      </c>
      <c r="K100" s="161">
        <v>26880.44</v>
      </c>
      <c r="L100" s="154">
        <f t="shared" si="1"/>
        <v>2018</v>
      </c>
    </row>
    <row r="101" spans="8:12" x14ac:dyDescent="0.25">
      <c r="H101" s="235">
        <v>43399</v>
      </c>
      <c r="I101" s="154">
        <v>28053.7</v>
      </c>
      <c r="J101" s="154">
        <v>26464.32</v>
      </c>
      <c r="K101" s="161">
        <v>27973.08</v>
      </c>
      <c r="L101" s="154">
        <f t="shared" si="1"/>
        <v>2018</v>
      </c>
    </row>
    <row r="102" spans="8:12" x14ac:dyDescent="0.25">
      <c r="H102" s="235">
        <v>43389</v>
      </c>
      <c r="I102" s="154">
        <v>27221.23</v>
      </c>
      <c r="J102" s="154">
        <v>26298.19</v>
      </c>
      <c r="K102" s="161">
        <v>26581.759999999998</v>
      </c>
      <c r="L102" s="154">
        <f t="shared" si="1"/>
        <v>2018</v>
      </c>
    </row>
    <row r="103" spans="8:12" x14ac:dyDescent="0.25">
      <c r="H103" s="235">
        <v>43379</v>
      </c>
      <c r="I103" s="154">
        <v>27353.05</v>
      </c>
      <c r="J103" s="154">
        <v>26037.93</v>
      </c>
      <c r="K103" s="161">
        <v>27104.37</v>
      </c>
      <c r="L103" s="154">
        <f t="shared" si="1"/>
        <v>2018</v>
      </c>
    </row>
    <row r="104" spans="8:12" x14ac:dyDescent="0.25">
      <c r="H104" s="235">
        <v>43369</v>
      </c>
      <c r="I104" s="154">
        <v>26901.17</v>
      </c>
      <c r="J104" s="154">
        <v>25946.3</v>
      </c>
      <c r="K104" s="161">
        <v>26433.54</v>
      </c>
      <c r="L104" s="154">
        <f t="shared" si="1"/>
        <v>2018</v>
      </c>
    </row>
    <row r="105" spans="8:12" x14ac:dyDescent="0.25">
      <c r="H105" s="235">
        <v>43359</v>
      </c>
      <c r="I105" s="154">
        <v>26981.23</v>
      </c>
      <c r="J105" s="154">
        <v>25474.639999999999</v>
      </c>
      <c r="K105" s="161">
        <v>26515.599999999999</v>
      </c>
      <c r="L105" s="154">
        <f t="shared" si="1"/>
        <v>2018</v>
      </c>
    </row>
    <row r="106" spans="8:12" x14ac:dyDescent="0.25">
      <c r="H106" s="235">
        <v>43349</v>
      </c>
      <c r="I106" s="154">
        <v>26129.23</v>
      </c>
      <c r="J106" s="154">
        <v>24951.79</v>
      </c>
      <c r="K106" s="161">
        <v>25570.53</v>
      </c>
      <c r="L106" s="154">
        <f t="shared" si="1"/>
        <v>2018</v>
      </c>
    </row>
    <row r="107" spans="8:12" x14ac:dyDescent="0.25">
      <c r="H107" s="235">
        <v>43339</v>
      </c>
      <c r="I107" s="154">
        <v>26056.01</v>
      </c>
      <c r="J107" s="154">
        <v>24667.42</v>
      </c>
      <c r="K107" s="161">
        <v>25242.68</v>
      </c>
      <c r="L107" s="154">
        <f t="shared" si="1"/>
        <v>2018</v>
      </c>
    </row>
    <row r="108" spans="8:12" x14ac:dyDescent="0.25">
      <c r="H108" s="235">
        <v>43329</v>
      </c>
      <c r="I108" s="154">
        <v>25835.7</v>
      </c>
      <c r="J108" s="154">
        <v>24861.61</v>
      </c>
      <c r="K108" s="161">
        <v>25494.66</v>
      </c>
      <c r="L108" s="154">
        <f t="shared" si="1"/>
        <v>2018</v>
      </c>
    </row>
    <row r="109" spans="8:12" x14ac:dyDescent="0.25">
      <c r="H109" s="235">
        <v>43319</v>
      </c>
      <c r="I109" s="154">
        <v>27010.240000000002</v>
      </c>
      <c r="J109" s="154">
        <v>24314.240000000002</v>
      </c>
      <c r="K109" s="161">
        <v>25090.36</v>
      </c>
      <c r="L109" s="154">
        <f t="shared" si="1"/>
        <v>2018</v>
      </c>
    </row>
    <row r="110" spans="8:12" x14ac:dyDescent="0.25">
      <c r="H110" s="235">
        <v>43309</v>
      </c>
      <c r="I110" s="154">
        <v>27126.95</v>
      </c>
      <c r="J110" s="154">
        <v>26144.67</v>
      </c>
      <c r="K110" s="161">
        <v>26472.52</v>
      </c>
      <c r="L110" s="154">
        <f t="shared" si="1"/>
        <v>2018</v>
      </c>
    </row>
    <row r="111" spans="8:12" x14ac:dyDescent="0.25">
      <c r="H111" s="235">
        <v>43299</v>
      </c>
      <c r="I111" s="154">
        <v>27202.18</v>
      </c>
      <c r="J111" s="154">
        <v>25537.58</v>
      </c>
      <c r="K111" s="161">
        <v>26720.97</v>
      </c>
      <c r="L111" s="154">
        <f t="shared" si="1"/>
        <v>2018</v>
      </c>
    </row>
    <row r="112" spans="8:12" x14ac:dyDescent="0.25">
      <c r="H112" s="235">
        <v>43289</v>
      </c>
      <c r="I112" s="154">
        <v>27618.46</v>
      </c>
      <c r="J112" s="154">
        <v>26245.86</v>
      </c>
      <c r="K112" s="161">
        <v>26252.13</v>
      </c>
      <c r="L112" s="154">
        <f t="shared" si="1"/>
        <v>2018</v>
      </c>
    </row>
    <row r="113" spans="8:12" x14ac:dyDescent="0.25">
      <c r="H113" s="235">
        <v>43279</v>
      </c>
      <c r="I113" s="154">
        <v>27598.04</v>
      </c>
      <c r="J113" s="154">
        <v>25672.37</v>
      </c>
      <c r="K113" s="161">
        <v>27148.89</v>
      </c>
      <c r="L113" s="154">
        <f t="shared" si="1"/>
        <v>2018</v>
      </c>
    </row>
    <row r="114" spans="8:12" x14ac:dyDescent="0.25">
      <c r="H114" s="235">
        <v>43269</v>
      </c>
      <c r="I114" s="154">
        <v>28675.49</v>
      </c>
      <c r="J114" s="154">
        <v>27430.62</v>
      </c>
      <c r="K114" s="161">
        <v>27569.51</v>
      </c>
      <c r="L114" s="154">
        <f t="shared" si="1"/>
        <v>2018</v>
      </c>
    </row>
    <row r="115" spans="8:12" x14ac:dyDescent="0.25">
      <c r="H115" s="235">
        <v>43259</v>
      </c>
      <c r="I115" s="154">
        <v>29364.799999999999</v>
      </c>
      <c r="J115" s="154">
        <v>28478.25</v>
      </c>
      <c r="K115" s="161">
        <v>28569.88</v>
      </c>
      <c r="L115" s="154">
        <f t="shared" si="1"/>
        <v>2018</v>
      </c>
    </row>
    <row r="116" spans="8:12" x14ac:dyDescent="0.25">
      <c r="H116" s="235">
        <v>43249</v>
      </c>
      <c r="I116" s="154">
        <v>29413.35</v>
      </c>
      <c r="J116" s="154">
        <v>28713.19</v>
      </c>
      <c r="K116" s="161">
        <v>28951.67</v>
      </c>
      <c r="L116" s="154">
        <f t="shared" si="1"/>
        <v>2018</v>
      </c>
    </row>
    <row r="117" spans="8:12" x14ac:dyDescent="0.25">
      <c r="H117" s="235">
        <v>43239</v>
      </c>
      <c r="I117" s="154">
        <v>29397.040000000001</v>
      </c>
      <c r="J117" s="154">
        <v>28228.44</v>
      </c>
      <c r="K117" s="161">
        <v>29098.35</v>
      </c>
      <c r="L117" s="154">
        <f t="shared" si="1"/>
        <v>2018</v>
      </c>
    </row>
    <row r="118" spans="8:12" x14ac:dyDescent="0.25">
      <c r="H118" s="235">
        <v>43229</v>
      </c>
      <c r="I118" s="154">
        <v>29882.59</v>
      </c>
      <c r="J118" s="154">
        <v>28363.47</v>
      </c>
      <c r="K118" s="161">
        <v>28525.59</v>
      </c>
      <c r="L118" s="154">
        <f t="shared" si="1"/>
        <v>2018</v>
      </c>
    </row>
    <row r="119" spans="8:12" x14ac:dyDescent="0.25">
      <c r="H119" s="235">
        <v>43219</v>
      </c>
      <c r="I119" s="154">
        <v>29556.42</v>
      </c>
      <c r="J119" s="154">
        <v>28716.639999999999</v>
      </c>
      <c r="K119" s="161">
        <v>29416.65</v>
      </c>
      <c r="L119" s="154">
        <f t="shared" si="1"/>
        <v>2018</v>
      </c>
    </row>
    <row r="120" spans="8:12" x14ac:dyDescent="0.25">
      <c r="H120" s="235">
        <v>43209</v>
      </c>
      <c r="I120" s="154">
        <v>30675.27</v>
      </c>
      <c r="J120" s="154">
        <v>29112.5</v>
      </c>
      <c r="K120" s="161">
        <v>29413.99</v>
      </c>
      <c r="L120" s="154">
        <f t="shared" si="1"/>
        <v>2018</v>
      </c>
    </row>
    <row r="121" spans="8:12" x14ac:dyDescent="0.25">
      <c r="H121" s="235">
        <v>43199</v>
      </c>
      <c r="I121" s="154">
        <v>30495.14</v>
      </c>
      <c r="J121" s="154">
        <v>29482.23</v>
      </c>
      <c r="K121" s="161">
        <v>30329.33</v>
      </c>
      <c r="L121" s="154">
        <f t="shared" si="1"/>
        <v>2018</v>
      </c>
    </row>
    <row r="122" spans="8:12" x14ac:dyDescent="0.25">
      <c r="H122" s="235">
        <v>43189</v>
      </c>
      <c r="I122" s="154">
        <v>30219.05</v>
      </c>
      <c r="J122" s="154">
        <v>29173.67</v>
      </c>
      <c r="K122" s="161">
        <v>29588.65</v>
      </c>
      <c r="L122" s="154">
        <f t="shared" si="1"/>
        <v>2018</v>
      </c>
    </row>
    <row r="123" spans="8:12" x14ac:dyDescent="0.25">
      <c r="H123" s="235">
        <v>43179</v>
      </c>
      <c r="I123" s="154">
        <v>30971.38</v>
      </c>
      <c r="J123" s="154">
        <v>29873.11</v>
      </c>
      <c r="K123" s="161">
        <v>29953.32</v>
      </c>
      <c r="L123" s="154">
        <f t="shared" si="1"/>
        <v>2018</v>
      </c>
    </row>
    <row r="124" spans="8:12" x14ac:dyDescent="0.25">
      <c r="H124" s="235">
        <v>43169</v>
      </c>
      <c r="I124" s="154">
        <v>31311.21</v>
      </c>
      <c r="J124" s="154">
        <v>30267.52</v>
      </c>
      <c r="K124" s="161">
        <v>30673.9</v>
      </c>
      <c r="L124" s="154">
        <f t="shared" si="1"/>
        <v>2018</v>
      </c>
    </row>
    <row r="125" spans="8:12" x14ac:dyDescent="0.25">
      <c r="H125" s="235">
        <v>43159</v>
      </c>
      <c r="I125" s="154">
        <v>31738.82</v>
      </c>
      <c r="J125" s="154">
        <v>30432.69</v>
      </c>
      <c r="K125" s="161">
        <v>31045.89</v>
      </c>
      <c r="L125" s="154">
        <f t="shared" si="1"/>
        <v>2018</v>
      </c>
    </row>
    <row r="126" spans="8:12" x14ac:dyDescent="0.25">
      <c r="H126" s="235">
        <v>43149</v>
      </c>
      <c r="I126" s="154">
        <v>32605.52</v>
      </c>
      <c r="J126" s="154">
        <v>31568.18</v>
      </c>
      <c r="K126" s="161">
        <v>31599.439999999999</v>
      </c>
      <c r="L126" s="154">
        <f t="shared" si="1"/>
        <v>2018</v>
      </c>
    </row>
    <row r="127" spans="8:12" x14ac:dyDescent="0.25">
      <c r="H127" s="235">
        <v>43139</v>
      </c>
      <c r="I127" s="154">
        <v>32568.95</v>
      </c>
      <c r="J127" s="154">
        <v>30798.57</v>
      </c>
      <c r="K127" s="161">
        <v>32328.78</v>
      </c>
      <c r="L127" s="154">
        <f t="shared" si="1"/>
        <v>2018</v>
      </c>
    </row>
    <row r="128" spans="8:12" x14ac:dyDescent="0.25">
      <c r="H128" s="235">
        <v>43129</v>
      </c>
      <c r="I128" s="154">
        <v>32570.959999999999</v>
      </c>
      <c r="J128" s="154">
        <v>31425.18</v>
      </c>
      <c r="K128" s="161">
        <v>31559.25</v>
      </c>
      <c r="L128" s="154">
        <f t="shared" si="1"/>
        <v>2018</v>
      </c>
    </row>
    <row r="129" spans="8:12" x14ac:dyDescent="0.25">
      <c r="H129" s="235">
        <v>43119</v>
      </c>
      <c r="I129" s="154">
        <v>33052.980000000003</v>
      </c>
      <c r="J129" s="154">
        <v>31813.24</v>
      </c>
      <c r="K129" s="161">
        <v>32475.47</v>
      </c>
      <c r="L129" s="154">
        <f t="shared" si="1"/>
        <v>2018</v>
      </c>
    </row>
    <row r="130" spans="8:12" x14ac:dyDescent="0.25">
      <c r="H130" s="235">
        <v>43109</v>
      </c>
      <c r="I130" s="154">
        <v>32415.11</v>
      </c>
      <c r="J130" s="154">
        <v>30803.95</v>
      </c>
      <c r="K130" s="161">
        <v>32209.74</v>
      </c>
      <c r="L130" s="154">
        <f t="shared" si="1"/>
        <v>2018</v>
      </c>
    </row>
    <row r="131" spans="8:12" x14ac:dyDescent="0.25">
      <c r="H131" s="235">
        <v>43099</v>
      </c>
      <c r="I131" s="154">
        <v>31322.3</v>
      </c>
      <c r="J131" s="154">
        <v>29843.77</v>
      </c>
      <c r="K131" s="161">
        <v>31183.17</v>
      </c>
      <c r="L131" s="154">
        <f t="shared" si="1"/>
        <v>2017</v>
      </c>
    </row>
    <row r="132" spans="8:12" x14ac:dyDescent="0.25">
      <c r="H132" s="235">
        <v>43089</v>
      </c>
      <c r="I132" s="154">
        <v>30108.05</v>
      </c>
      <c r="J132" s="154">
        <v>29248.26</v>
      </c>
      <c r="K132" s="161">
        <v>29857.19</v>
      </c>
      <c r="L132" s="154">
        <f t="shared" si="1"/>
        <v>2017</v>
      </c>
    </row>
    <row r="133" spans="8:12" x14ac:dyDescent="0.25">
      <c r="H133" s="235">
        <v>43079</v>
      </c>
      <c r="I133" s="154">
        <v>29557.39</v>
      </c>
      <c r="J133" s="154">
        <v>28107.63</v>
      </c>
      <c r="K133" s="161">
        <v>29386.75</v>
      </c>
      <c r="L133" s="154">
        <f t="shared" si="1"/>
        <v>2017</v>
      </c>
    </row>
    <row r="134" spans="8:12" x14ac:dyDescent="0.25">
      <c r="H134" s="235">
        <v>43069</v>
      </c>
      <c r="I134" s="154">
        <v>30487.51</v>
      </c>
      <c r="J134" s="154">
        <v>28385.01</v>
      </c>
      <c r="K134" s="161">
        <v>28571.65</v>
      </c>
      <c r="L134" s="154">
        <f t="shared" si="1"/>
        <v>2017</v>
      </c>
    </row>
    <row r="135" spans="8:12" x14ac:dyDescent="0.25">
      <c r="H135" s="235">
        <v>43059</v>
      </c>
      <c r="I135" s="154">
        <v>30769.87</v>
      </c>
      <c r="J135" s="154">
        <v>29599.42</v>
      </c>
      <c r="K135" s="161">
        <v>30256.5</v>
      </c>
      <c r="L135" s="154">
        <f t="shared" si="1"/>
        <v>2017</v>
      </c>
    </row>
    <row r="136" spans="8:12" x14ac:dyDescent="0.25">
      <c r="H136" s="235">
        <v>43049</v>
      </c>
      <c r="I136" s="154">
        <v>30692.63</v>
      </c>
      <c r="J136" s="154">
        <v>29690.09</v>
      </c>
      <c r="K136" s="161">
        <v>30517.49</v>
      </c>
      <c r="L136" s="154">
        <f t="shared" ref="L136:L186" si="2">YEAR(H136)</f>
        <v>2017</v>
      </c>
    </row>
    <row r="137" spans="8:12" x14ac:dyDescent="0.25">
      <c r="H137" s="235">
        <v>43039</v>
      </c>
      <c r="I137" s="154">
        <v>30197.67</v>
      </c>
      <c r="J137" s="154">
        <v>29435.29</v>
      </c>
      <c r="K137" s="161">
        <v>30150.49</v>
      </c>
      <c r="L137" s="154">
        <f t="shared" si="2"/>
        <v>2017</v>
      </c>
    </row>
    <row r="138" spans="8:12" x14ac:dyDescent="0.25">
      <c r="H138" s="235">
        <v>43029</v>
      </c>
      <c r="I138" s="154">
        <v>29924.87</v>
      </c>
      <c r="J138" s="154">
        <v>29336.91</v>
      </c>
      <c r="K138" s="161">
        <v>29622.41</v>
      </c>
      <c r="L138" s="154">
        <f t="shared" si="2"/>
        <v>2017</v>
      </c>
    </row>
    <row r="139" spans="8:12" x14ac:dyDescent="0.25">
      <c r="H139" s="235">
        <v>43019</v>
      </c>
      <c r="I139" s="154">
        <v>30463.4</v>
      </c>
      <c r="J139" s="154">
        <v>29503.53</v>
      </c>
      <c r="K139" s="161">
        <v>29736.63</v>
      </c>
      <c r="L139" s="154">
        <f t="shared" si="2"/>
        <v>2017</v>
      </c>
    </row>
    <row r="140" spans="8:12" x14ac:dyDescent="0.25">
      <c r="H140" s="235">
        <v>43009</v>
      </c>
      <c r="I140" s="154">
        <v>30033.3</v>
      </c>
      <c r="J140" s="154">
        <v>29092.65</v>
      </c>
      <c r="K140" s="161">
        <v>29985.88</v>
      </c>
      <c r="L140" s="154">
        <f t="shared" si="2"/>
        <v>2017</v>
      </c>
    </row>
    <row r="141" spans="8:12" x14ac:dyDescent="0.25">
      <c r="H141" s="235">
        <v>42999</v>
      </c>
      <c r="I141" s="154">
        <v>30411.63</v>
      </c>
      <c r="J141" s="154">
        <v>29322.93</v>
      </c>
      <c r="K141" s="161">
        <v>29345.84</v>
      </c>
      <c r="L141" s="154">
        <f t="shared" si="2"/>
        <v>2017</v>
      </c>
    </row>
    <row r="142" spans="8:12" x14ac:dyDescent="0.25">
      <c r="H142" s="235">
        <v>42989</v>
      </c>
      <c r="I142" s="154">
        <v>32328.14</v>
      </c>
      <c r="J142" s="154">
        <v>30082.25</v>
      </c>
      <c r="K142" s="161">
        <v>30237.13</v>
      </c>
      <c r="L142" s="154">
        <f t="shared" si="2"/>
        <v>2017</v>
      </c>
    </row>
    <row r="143" spans="8:12" x14ac:dyDescent="0.25">
      <c r="H143" s="235">
        <v>42979</v>
      </c>
      <c r="I143" s="154">
        <v>32874.78</v>
      </c>
      <c r="J143" s="154">
        <v>31988.47</v>
      </c>
      <c r="K143" s="161">
        <v>32245.35</v>
      </c>
      <c r="L143" s="154">
        <f t="shared" si="2"/>
        <v>2017</v>
      </c>
    </row>
    <row r="144" spans="8:12" x14ac:dyDescent="0.25">
      <c r="H144" s="235">
        <v>42969</v>
      </c>
      <c r="I144" s="154">
        <v>32340.84</v>
      </c>
      <c r="J144" s="154">
        <v>31185.18</v>
      </c>
      <c r="K144" s="161">
        <v>32083.71</v>
      </c>
      <c r="L144" s="154">
        <f t="shared" si="2"/>
        <v>2017</v>
      </c>
    </row>
    <row r="145" spans="8:12" x14ac:dyDescent="0.25">
      <c r="H145" s="235">
        <v>42959</v>
      </c>
      <c r="I145" s="154">
        <v>31788.17</v>
      </c>
      <c r="J145" s="154">
        <v>30635.24</v>
      </c>
      <c r="K145" s="161">
        <v>31577.18</v>
      </c>
      <c r="L145" s="154">
        <f t="shared" si="2"/>
        <v>2017</v>
      </c>
    </row>
    <row r="146" spans="8:12" x14ac:dyDescent="0.25">
      <c r="H146" s="235">
        <v>42949</v>
      </c>
      <c r="I146" s="154">
        <v>31860.26</v>
      </c>
      <c r="J146" s="154">
        <v>30252.73</v>
      </c>
      <c r="K146" s="161">
        <v>31635.61</v>
      </c>
      <c r="L146" s="154">
        <f t="shared" si="2"/>
        <v>2017</v>
      </c>
    </row>
    <row r="147" spans="8:12" x14ac:dyDescent="0.25">
      <c r="H147" s="235">
        <v>42939</v>
      </c>
      <c r="I147" s="154">
        <v>30487.43</v>
      </c>
      <c r="J147" s="154">
        <v>29528.93</v>
      </c>
      <c r="K147" s="161">
        <v>30361.08</v>
      </c>
      <c r="L147" s="154">
        <f t="shared" si="2"/>
        <v>2017</v>
      </c>
    </row>
    <row r="148" spans="8:12" x14ac:dyDescent="0.25">
      <c r="H148" s="235">
        <v>42929</v>
      </c>
      <c r="I148" s="154">
        <v>30193.97</v>
      </c>
      <c r="J148" s="154">
        <v>29089.67</v>
      </c>
      <c r="K148" s="161">
        <v>30063.599999999999</v>
      </c>
      <c r="L148" s="154">
        <f t="shared" si="2"/>
        <v>2017</v>
      </c>
    </row>
    <row r="149" spans="8:12" x14ac:dyDescent="0.25">
      <c r="H149" s="235">
        <v>42919</v>
      </c>
      <c r="I149" s="154">
        <v>29811.62</v>
      </c>
      <c r="J149" s="154">
        <v>28655.16</v>
      </c>
      <c r="K149" s="161">
        <v>29446.39</v>
      </c>
      <c r="L149" s="154">
        <f t="shared" si="2"/>
        <v>2017</v>
      </c>
    </row>
    <row r="150" spans="8:12" x14ac:dyDescent="0.25">
      <c r="H150" s="235">
        <v>42909</v>
      </c>
      <c r="I150" s="154">
        <v>30032.17</v>
      </c>
      <c r="J150" s="154">
        <v>29266.58</v>
      </c>
      <c r="K150" s="161">
        <v>29811.14</v>
      </c>
      <c r="L150" s="154">
        <f t="shared" si="2"/>
        <v>2017</v>
      </c>
    </row>
    <row r="151" spans="8:12" x14ac:dyDescent="0.25">
      <c r="H151" s="235">
        <v>42899</v>
      </c>
      <c r="I151" s="154">
        <v>30658.23</v>
      </c>
      <c r="J151" s="154">
        <v>29523.31</v>
      </c>
      <c r="K151" s="161">
        <v>29802.3</v>
      </c>
      <c r="L151" s="154">
        <f t="shared" si="2"/>
        <v>2017</v>
      </c>
    </row>
    <row r="152" spans="8:12" x14ac:dyDescent="0.25">
      <c r="H152" s="235">
        <v>42889</v>
      </c>
      <c r="I152" s="154">
        <v>31117.58</v>
      </c>
      <c r="J152" s="154">
        <v>30073.49</v>
      </c>
      <c r="K152" s="161">
        <v>30374.26</v>
      </c>
      <c r="L152" s="154">
        <f t="shared" si="2"/>
        <v>2017</v>
      </c>
    </row>
    <row r="153" spans="8:12" x14ac:dyDescent="0.25">
      <c r="H153" s="235">
        <v>42879</v>
      </c>
      <c r="I153" s="154">
        <v>31057.14</v>
      </c>
      <c r="J153" s="154">
        <v>29762.67</v>
      </c>
      <c r="K153" s="161">
        <v>30678.400000000001</v>
      </c>
      <c r="L153" s="154">
        <f t="shared" si="2"/>
        <v>2017</v>
      </c>
    </row>
    <row r="154" spans="8:12" x14ac:dyDescent="0.25">
      <c r="H154" s="235">
        <v>42869</v>
      </c>
      <c r="I154" s="154">
        <v>30805.56</v>
      </c>
      <c r="J154" s="154">
        <v>29619.68</v>
      </c>
      <c r="K154" s="161">
        <v>30349.02</v>
      </c>
      <c r="L154" s="154">
        <f t="shared" si="2"/>
        <v>2017</v>
      </c>
    </row>
    <row r="155" spans="8:12" x14ac:dyDescent="0.25">
      <c r="H155" s="235">
        <v>42859</v>
      </c>
      <c r="I155" s="154">
        <v>29760.98</v>
      </c>
      <c r="J155" s="154">
        <v>28763.91</v>
      </c>
      <c r="K155" s="161">
        <v>29620.880000000001</v>
      </c>
      <c r="L155" s="154">
        <f t="shared" si="2"/>
        <v>2017</v>
      </c>
    </row>
    <row r="156" spans="8:12" x14ac:dyDescent="0.25">
      <c r="H156" s="235">
        <v>42849</v>
      </c>
      <c r="I156" s="154">
        <v>31298.75</v>
      </c>
      <c r="J156" s="154">
        <v>28818.48</v>
      </c>
      <c r="K156" s="161">
        <v>28871.93</v>
      </c>
      <c r="L156" s="154">
        <f t="shared" si="2"/>
        <v>2017</v>
      </c>
    </row>
    <row r="157" spans="8:12" x14ac:dyDescent="0.25">
      <c r="H157" s="235">
        <v>42839</v>
      </c>
      <c r="I157" s="154">
        <v>31826.83</v>
      </c>
      <c r="J157" s="154">
        <v>31014.06</v>
      </c>
      <c r="K157" s="161">
        <v>31220.87</v>
      </c>
      <c r="L157" s="154">
        <f t="shared" si="2"/>
        <v>2017</v>
      </c>
    </row>
    <row r="158" spans="8:12" x14ac:dyDescent="0.25">
      <c r="H158" s="235">
        <v>42829</v>
      </c>
      <c r="I158" s="154">
        <v>31502.43</v>
      </c>
      <c r="J158" s="154">
        <v>30150.81</v>
      </c>
      <c r="K158" s="161">
        <v>31275.919999999998</v>
      </c>
      <c r="L158" s="154">
        <f t="shared" si="2"/>
        <v>2017</v>
      </c>
    </row>
    <row r="159" spans="8:12" x14ac:dyDescent="0.25">
      <c r="H159" s="235">
        <v>42819</v>
      </c>
      <c r="I159" s="154">
        <v>31653.78</v>
      </c>
      <c r="J159" s="154">
        <v>30235.119999999999</v>
      </c>
      <c r="K159" s="161">
        <v>30886.98</v>
      </c>
      <c r="L159" s="154">
        <f t="shared" si="2"/>
        <v>2017</v>
      </c>
    </row>
    <row r="160" spans="8:12" x14ac:dyDescent="0.25">
      <c r="H160" s="235">
        <v>42809</v>
      </c>
      <c r="I160" s="154">
        <v>31399.38</v>
      </c>
      <c r="J160" s="154">
        <v>29997.77</v>
      </c>
      <c r="K160" s="161">
        <v>31066.06</v>
      </c>
      <c r="L160" s="154">
        <f t="shared" si="2"/>
        <v>2017</v>
      </c>
    </row>
    <row r="161" spans="8:12" x14ac:dyDescent="0.25">
      <c r="H161" s="235">
        <v>42799</v>
      </c>
      <c r="I161" s="154">
        <v>32174.38</v>
      </c>
      <c r="J161" s="154">
        <v>30047.53</v>
      </c>
      <c r="K161" s="161">
        <v>30181.11</v>
      </c>
      <c r="L161" s="154">
        <f t="shared" si="2"/>
        <v>2017</v>
      </c>
    </row>
    <row r="162" spans="8:12" x14ac:dyDescent="0.25">
      <c r="H162" s="235">
        <v>42789</v>
      </c>
      <c r="I162" s="154">
        <v>33643.18</v>
      </c>
      <c r="J162" s="154">
        <v>31613.83</v>
      </c>
      <c r="K162" s="161">
        <v>32116.75</v>
      </c>
      <c r="L162" s="154">
        <f t="shared" si="2"/>
        <v>2017</v>
      </c>
    </row>
    <row r="163" spans="8:12" x14ac:dyDescent="0.25">
      <c r="H163" s="235">
        <v>42779</v>
      </c>
      <c r="I163" s="154">
        <v>32782.67</v>
      </c>
      <c r="J163" s="154">
        <v>31808.26</v>
      </c>
      <c r="K163" s="161">
        <v>32263.43</v>
      </c>
      <c r="L163" s="154">
        <f t="shared" si="2"/>
        <v>2017</v>
      </c>
    </row>
    <row r="164" spans="8:12" x14ac:dyDescent="0.25">
      <c r="H164" s="235">
        <v>42769</v>
      </c>
      <c r="I164" s="154">
        <v>33106.589999999997</v>
      </c>
      <c r="J164" s="154">
        <v>31699.83</v>
      </c>
      <c r="K164" s="161">
        <v>32424.99</v>
      </c>
      <c r="L164" s="154">
        <f t="shared" si="2"/>
        <v>2017</v>
      </c>
    </row>
    <row r="165" spans="8:12" x14ac:dyDescent="0.25">
      <c r="H165" s="235">
        <v>42759</v>
      </c>
      <c r="I165" s="154">
        <v>32573.37</v>
      </c>
      <c r="J165" s="154">
        <v>30967.759999999998</v>
      </c>
      <c r="K165" s="161">
        <v>32092.79</v>
      </c>
      <c r="L165" s="154">
        <f t="shared" si="2"/>
        <v>2017</v>
      </c>
    </row>
    <row r="166" spans="8:12" x14ac:dyDescent="0.25">
      <c r="H166" s="235">
        <v>42749</v>
      </c>
      <c r="I166" s="154">
        <v>31983.88</v>
      </c>
      <c r="J166" s="154">
        <v>30516.44</v>
      </c>
      <c r="K166" s="161">
        <v>31582.48</v>
      </c>
      <c r="L166" s="154">
        <f t="shared" si="2"/>
        <v>2017</v>
      </c>
    </row>
    <row r="167" spans="8:12" x14ac:dyDescent="0.25">
      <c r="H167" s="235">
        <v>42739</v>
      </c>
      <c r="I167" s="154">
        <v>31883.73</v>
      </c>
      <c r="J167" s="154">
        <v>29762.43</v>
      </c>
      <c r="K167" s="161">
        <v>31665.59</v>
      </c>
      <c r="L167" s="154">
        <f t="shared" si="2"/>
        <v>2017</v>
      </c>
    </row>
    <row r="168" spans="8:12" x14ac:dyDescent="0.25">
      <c r="H168" s="235">
        <v>42729</v>
      </c>
      <c r="I168" s="154">
        <v>30441.93</v>
      </c>
      <c r="J168" s="154">
        <v>28692.93</v>
      </c>
      <c r="K168" s="161">
        <v>29855.42</v>
      </c>
      <c r="L168" s="154">
        <f t="shared" si="2"/>
        <v>2016</v>
      </c>
    </row>
    <row r="169" spans="8:12" x14ac:dyDescent="0.25">
      <c r="H169" s="235">
        <v>42719</v>
      </c>
      <c r="I169" s="154">
        <v>30106.52</v>
      </c>
      <c r="J169" s="154">
        <v>28566.5</v>
      </c>
      <c r="K169" s="161">
        <v>28692.93</v>
      </c>
      <c r="L169" s="154">
        <f t="shared" si="2"/>
        <v>2016</v>
      </c>
    </row>
    <row r="170" spans="8:12" x14ac:dyDescent="0.25">
      <c r="H170" s="235">
        <v>42709</v>
      </c>
      <c r="I170" s="154">
        <v>30653.65</v>
      </c>
      <c r="J170" s="154">
        <v>29253.72</v>
      </c>
      <c r="K170" s="161">
        <v>29799.32</v>
      </c>
      <c r="L170" s="154">
        <f t="shared" si="2"/>
        <v>2016</v>
      </c>
    </row>
    <row r="171" spans="8:12" x14ac:dyDescent="0.25">
      <c r="H171" s="235">
        <v>42699</v>
      </c>
      <c r="I171" s="154">
        <v>30199.360000000001</v>
      </c>
      <c r="J171" s="154">
        <v>28907.38</v>
      </c>
      <c r="K171" s="161">
        <v>29809.69</v>
      </c>
      <c r="L171" s="154">
        <f t="shared" si="2"/>
        <v>2016</v>
      </c>
    </row>
    <row r="172" spans="8:12" x14ac:dyDescent="0.25">
      <c r="H172" s="235">
        <v>42689</v>
      </c>
      <c r="I172" s="154">
        <v>30609.439999999999</v>
      </c>
      <c r="J172" s="154">
        <v>29364.560000000001</v>
      </c>
      <c r="K172" s="161">
        <v>29506.19</v>
      </c>
      <c r="L172" s="154">
        <f t="shared" si="2"/>
        <v>2016</v>
      </c>
    </row>
    <row r="173" spans="8:12" x14ac:dyDescent="0.25">
      <c r="H173" s="235">
        <v>42679</v>
      </c>
      <c r="I173" s="154">
        <v>32823.18</v>
      </c>
      <c r="J173" s="154">
        <v>29692.02</v>
      </c>
      <c r="K173" s="161">
        <v>30083.61</v>
      </c>
      <c r="L173" s="154">
        <f t="shared" si="2"/>
        <v>2016</v>
      </c>
    </row>
    <row r="174" spans="8:12" x14ac:dyDescent="0.25">
      <c r="H174" s="235">
        <v>42669</v>
      </c>
      <c r="I174" s="154">
        <v>32320.82</v>
      </c>
      <c r="J174" s="154">
        <v>30794.31</v>
      </c>
      <c r="K174" s="161">
        <v>32111.84</v>
      </c>
      <c r="L174" s="154">
        <f t="shared" si="2"/>
        <v>2016</v>
      </c>
    </row>
    <row r="175" spans="8:12" x14ac:dyDescent="0.25">
      <c r="H175" s="235">
        <v>42659</v>
      </c>
      <c r="I175" s="154">
        <v>31740.82</v>
      </c>
      <c r="J175" s="154">
        <v>29819.82</v>
      </c>
      <c r="K175" s="161">
        <v>30780.32</v>
      </c>
      <c r="L175" s="154">
        <f t="shared" si="2"/>
        <v>2016</v>
      </c>
    </row>
    <row r="176" spans="8:12" x14ac:dyDescent="0.25">
      <c r="H176" s="235">
        <v>42649</v>
      </c>
      <c r="I176" s="154">
        <v>34052.46</v>
      </c>
      <c r="J176" s="154">
        <v>31240.880000000001</v>
      </c>
      <c r="K176" s="161">
        <v>32646.67</v>
      </c>
      <c r="L176" s="154">
        <f t="shared" si="2"/>
        <v>2016</v>
      </c>
    </row>
    <row r="177" spans="8:12" x14ac:dyDescent="0.25">
      <c r="H177" s="235">
        <v>42639</v>
      </c>
      <c r="I177" s="154">
        <v>34517.040000000001</v>
      </c>
      <c r="J177" s="154">
        <v>32753.57</v>
      </c>
      <c r="K177" s="161">
        <v>33635.31</v>
      </c>
      <c r="L177" s="154">
        <f t="shared" si="2"/>
        <v>2016</v>
      </c>
    </row>
    <row r="178" spans="8:12" x14ac:dyDescent="0.25">
      <c r="H178" s="235">
        <v>42629</v>
      </c>
      <c r="I178" s="154">
        <v>35965.43</v>
      </c>
      <c r="J178" s="154">
        <v>32922.04</v>
      </c>
      <c r="K178" s="161">
        <v>34443.74</v>
      </c>
      <c r="L178" s="154">
        <f t="shared" si="2"/>
        <v>2016</v>
      </c>
    </row>
    <row r="179" spans="8:12" x14ac:dyDescent="0.25">
      <c r="H179" s="235">
        <v>42619</v>
      </c>
      <c r="I179" s="154">
        <v>35203.46</v>
      </c>
      <c r="J179" s="154">
        <v>33478.57</v>
      </c>
      <c r="K179" s="161">
        <v>34341.019999999997</v>
      </c>
      <c r="L179" s="154">
        <f t="shared" si="2"/>
        <v>2016</v>
      </c>
    </row>
    <row r="180" spans="8:12" x14ac:dyDescent="0.25">
      <c r="H180" s="235">
        <v>42609</v>
      </c>
      <c r="I180" s="154">
        <v>36868.870000000003</v>
      </c>
      <c r="J180" s="154">
        <v>34457.56</v>
      </c>
      <c r="K180" s="161">
        <v>35663.22</v>
      </c>
      <c r="L180" s="154">
        <f t="shared" si="2"/>
        <v>2016</v>
      </c>
    </row>
    <row r="181" spans="8:12" x14ac:dyDescent="0.25">
      <c r="H181" s="235">
        <v>42599</v>
      </c>
      <c r="I181" s="154">
        <v>38484.44</v>
      </c>
      <c r="J181" s="154">
        <v>35754.85</v>
      </c>
      <c r="K181" s="161">
        <v>37119.64</v>
      </c>
      <c r="L181" s="154">
        <f t="shared" si="2"/>
        <v>2016</v>
      </c>
    </row>
    <row r="182" spans="8:12" x14ac:dyDescent="0.25">
      <c r="H182" s="235">
        <v>42589</v>
      </c>
      <c r="I182" s="154">
        <v>38119.53</v>
      </c>
      <c r="J182" s="154">
        <v>36339.99</v>
      </c>
      <c r="K182" s="161">
        <v>37229.760000000002</v>
      </c>
      <c r="L182" s="154">
        <f t="shared" si="2"/>
        <v>2016</v>
      </c>
    </row>
    <row r="183" spans="8:12" x14ac:dyDescent="0.25">
      <c r="H183" s="235">
        <v>42579</v>
      </c>
      <c r="I183" s="154">
        <v>37536</v>
      </c>
      <c r="J183" s="154">
        <v>34455.96</v>
      </c>
      <c r="K183" s="161">
        <v>35995.980000000003</v>
      </c>
      <c r="L183" s="154">
        <f t="shared" si="2"/>
        <v>2016</v>
      </c>
    </row>
    <row r="184" spans="8:12" x14ac:dyDescent="0.25">
      <c r="H184" s="235">
        <v>42569</v>
      </c>
      <c r="I184" s="154">
        <v>35960.61</v>
      </c>
      <c r="J184" s="154">
        <v>34803.18</v>
      </c>
      <c r="K184" s="161">
        <v>35381.9</v>
      </c>
      <c r="L184" s="154">
        <f t="shared" si="2"/>
        <v>2016</v>
      </c>
    </row>
    <row r="185" spans="8:12" x14ac:dyDescent="0.25">
      <c r="H185" s="235">
        <v>42559</v>
      </c>
      <c r="I185" s="154">
        <v>35494.42</v>
      </c>
      <c r="J185" s="154">
        <v>31546.31</v>
      </c>
      <c r="K185" s="161">
        <v>33520.370000000003</v>
      </c>
      <c r="L185" s="154">
        <f t="shared" si="2"/>
        <v>2016</v>
      </c>
    </row>
    <row r="186" spans="8:12" x14ac:dyDescent="0.25">
      <c r="H186" s="235">
        <v>42549</v>
      </c>
      <c r="I186" s="154">
        <v>32456.18</v>
      </c>
      <c r="J186" s="154">
        <v>31102.31</v>
      </c>
      <c r="K186" s="161">
        <v>31779.24</v>
      </c>
      <c r="L186" s="154">
        <f t="shared" si="2"/>
        <v>2016</v>
      </c>
    </row>
    <row r="187" spans="8:12" x14ac:dyDescent="0.25">
      <c r="H187" s="179"/>
      <c r="I187" s="180"/>
      <c r="J187" s="180"/>
      <c r="K187" s="18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34B0-FC79-419A-B280-7FAFE045829E}">
  <sheetPr codeName="Sheet33"/>
  <dimension ref="A1:AN85"/>
  <sheetViews>
    <sheetView workbookViewId="0">
      <selection sqref="A1:F1"/>
    </sheetView>
  </sheetViews>
  <sheetFormatPr defaultColWidth="10.28515625" defaultRowHeight="14.25" x14ac:dyDescent="0.2"/>
  <cols>
    <col min="1" max="1" width="18.28515625" style="240" customWidth="1"/>
    <col min="2" max="2" width="15.5703125" style="240" customWidth="1"/>
    <col min="3" max="3" width="28.140625" style="240" customWidth="1"/>
    <col min="4" max="4" width="20.5703125" style="240" customWidth="1"/>
    <col min="5" max="5" width="12.140625" style="240" customWidth="1"/>
    <col min="6" max="6" width="11.5703125" style="240" customWidth="1"/>
    <col min="7" max="7" width="0.5703125" style="240" customWidth="1"/>
    <col min="8" max="8" width="14.42578125" style="240" customWidth="1"/>
    <col min="9" max="9" width="22" style="240" customWidth="1"/>
    <col min="10" max="10" width="29.85546875" style="240" customWidth="1"/>
    <col min="11" max="11" width="10.42578125" style="240" bestFit="1" customWidth="1"/>
    <col min="12" max="12" width="0.5703125" style="240" customWidth="1"/>
    <col min="13" max="13" width="10.28515625" style="240"/>
    <col min="14" max="14" width="18.28515625" style="240" customWidth="1"/>
    <col min="15" max="15" width="29.5703125" style="240" customWidth="1"/>
    <col min="16" max="16" width="18" style="240" customWidth="1"/>
    <col min="17" max="17" width="30" style="240" customWidth="1"/>
    <col min="18" max="18" width="22.85546875" style="240" customWidth="1"/>
    <col min="19" max="19" width="10.85546875" style="240" customWidth="1"/>
    <col min="20" max="20" width="10" style="240" customWidth="1"/>
    <col min="21" max="21" width="12.28515625" style="240" customWidth="1"/>
    <col min="22" max="22" width="28.42578125" style="240" customWidth="1"/>
    <col min="23" max="23" width="14.42578125" style="240" bestFit="1" customWidth="1"/>
    <col min="24" max="26" width="10.28515625" style="240"/>
    <col min="27" max="27" width="18.85546875" style="240" customWidth="1"/>
    <col min="28" max="28" width="21.5703125" style="240" customWidth="1"/>
    <col min="29" max="29" width="20.28515625" style="240" customWidth="1"/>
    <col min="30" max="30" width="22.85546875" style="240" customWidth="1"/>
    <col min="31" max="31" width="19" style="240" customWidth="1"/>
    <col min="32" max="32" width="20.7109375" style="240" customWidth="1"/>
    <col min="33" max="33" width="15.7109375" style="240" bestFit="1" customWidth="1"/>
    <col min="34" max="34" width="13.7109375" style="240" customWidth="1"/>
    <col min="35" max="35" width="16.42578125" style="240" customWidth="1"/>
    <col min="36" max="36" width="28.7109375" style="240" customWidth="1"/>
    <col min="37" max="16384" width="10.28515625" style="240"/>
  </cols>
  <sheetData>
    <row r="1" spans="1:40" x14ac:dyDescent="0.2">
      <c r="A1" s="359" t="s">
        <v>384</v>
      </c>
      <c r="B1" s="359"/>
      <c r="C1" s="359"/>
      <c r="D1" s="359"/>
      <c r="E1" s="359"/>
      <c r="F1" s="359"/>
      <c r="I1" s="359" t="s">
        <v>385</v>
      </c>
      <c r="J1" s="359"/>
      <c r="K1" s="359"/>
      <c r="M1" s="359"/>
      <c r="N1" s="241" t="s">
        <v>386</v>
      </c>
      <c r="O1" s="241"/>
      <c r="P1" s="241"/>
      <c r="Z1" s="359"/>
      <c r="AA1" s="360" t="s">
        <v>387</v>
      </c>
      <c r="AB1" s="360"/>
      <c r="AC1" s="360"/>
      <c r="AD1" s="360"/>
      <c r="AE1" s="360"/>
      <c r="AF1" s="360"/>
      <c r="AG1" s="360"/>
      <c r="AH1" s="360"/>
      <c r="AI1" s="360"/>
      <c r="AJ1" s="360"/>
      <c r="AK1" s="360"/>
      <c r="AL1" s="360"/>
      <c r="AM1" s="360"/>
      <c r="AN1" s="242"/>
    </row>
    <row r="2" spans="1:40" x14ac:dyDescent="0.2">
      <c r="A2" s="361" t="s">
        <v>388</v>
      </c>
      <c r="B2" s="361"/>
      <c r="C2" s="361"/>
      <c r="D2" s="361"/>
      <c r="E2" s="361"/>
      <c r="F2" s="361"/>
      <c r="I2" s="361" t="s">
        <v>235</v>
      </c>
      <c r="J2" s="361"/>
      <c r="K2" s="361"/>
      <c r="M2" s="359"/>
      <c r="Z2" s="359"/>
      <c r="AN2" s="242"/>
    </row>
    <row r="3" spans="1:40" ht="15" x14ac:dyDescent="0.25">
      <c r="A3" s="243" t="s">
        <v>389</v>
      </c>
      <c r="B3" s="243" t="s">
        <v>292</v>
      </c>
      <c r="C3" s="243" t="s">
        <v>227</v>
      </c>
      <c r="D3" s="243" t="s">
        <v>228</v>
      </c>
      <c r="E3" s="243" t="s">
        <v>229</v>
      </c>
      <c r="F3" s="243" t="s">
        <v>222</v>
      </c>
      <c r="I3" s="243" t="s">
        <v>291</v>
      </c>
      <c r="J3" s="243" t="s">
        <v>390</v>
      </c>
      <c r="K3" s="243" t="s">
        <v>118</v>
      </c>
      <c r="M3" s="359"/>
      <c r="N3" s="240" t="s">
        <v>391</v>
      </c>
      <c r="O3" s="244">
        <v>298.5</v>
      </c>
      <c r="P3" s="240" t="s">
        <v>392</v>
      </c>
      <c r="Z3" s="359"/>
      <c r="AA3" s="362" t="s">
        <v>393</v>
      </c>
      <c r="AB3" s="362"/>
      <c r="AD3" s="363" t="s">
        <v>394</v>
      </c>
      <c r="AE3" s="364"/>
      <c r="AF3" s="364"/>
      <c r="AG3" s="364"/>
      <c r="AH3" s="364"/>
      <c r="AN3" s="242"/>
    </row>
    <row r="4" spans="1:40" x14ac:dyDescent="0.2">
      <c r="A4" s="243" t="s">
        <v>293</v>
      </c>
      <c r="B4" s="243">
        <v>7.23</v>
      </c>
      <c r="C4" s="243">
        <v>5.65</v>
      </c>
      <c r="D4" s="243">
        <v>4.78</v>
      </c>
      <c r="E4" s="243">
        <v>0.89</v>
      </c>
      <c r="F4" s="243">
        <f>SUM('Students worksheet'!B4:E4)</f>
        <v>18.55</v>
      </c>
      <c r="I4" s="243" t="s">
        <v>293</v>
      </c>
      <c r="J4" s="243">
        <v>0.65</v>
      </c>
      <c r="K4" s="243">
        <v>0.21</v>
      </c>
      <c r="M4" s="359"/>
      <c r="Z4" s="359"/>
      <c r="AA4" s="243" t="s">
        <v>178</v>
      </c>
      <c r="AB4" s="243" t="s">
        <v>395</v>
      </c>
      <c r="AD4" s="243" t="s">
        <v>396</v>
      </c>
      <c r="AE4" s="243" t="s">
        <v>178</v>
      </c>
      <c r="AF4" s="243" t="s">
        <v>143</v>
      </c>
      <c r="AG4" s="243" t="s">
        <v>179</v>
      </c>
      <c r="AH4" s="243" t="s">
        <v>397</v>
      </c>
      <c r="AJ4" s="240">
        <v>0.9</v>
      </c>
      <c r="AK4" s="240" t="s">
        <v>398</v>
      </c>
      <c r="AN4" s="242"/>
    </row>
    <row r="5" spans="1:40" ht="15" x14ac:dyDescent="0.25">
      <c r="A5" s="243" t="s">
        <v>294</v>
      </c>
      <c r="B5" s="245">
        <v>0</v>
      </c>
      <c r="C5" s="245">
        <v>0</v>
      </c>
      <c r="D5" s="243">
        <v>1.69</v>
      </c>
      <c r="E5" s="243">
        <v>1.68</v>
      </c>
      <c r="F5" s="243">
        <f>SUM('Students worksheet'!B5:E5)</f>
        <v>3.37</v>
      </c>
      <c r="I5" s="243" t="s">
        <v>294</v>
      </c>
      <c r="J5" s="245">
        <v>2.4500000000000002</v>
      </c>
      <c r="K5" s="243">
        <v>0.78</v>
      </c>
      <c r="M5" s="359"/>
      <c r="N5" s="362" t="s">
        <v>399</v>
      </c>
      <c r="O5" s="362"/>
      <c r="Z5" s="359"/>
      <c r="AA5" s="243" t="s">
        <v>143</v>
      </c>
      <c r="AB5" s="243">
        <v>90.504451038575667</v>
      </c>
      <c r="AD5" s="243" t="s">
        <v>226</v>
      </c>
      <c r="AE5" s="243">
        <v>24.749483944954129</v>
      </c>
      <c r="AF5" s="243" t="s">
        <v>231</v>
      </c>
      <c r="AG5" s="243" t="s">
        <v>231</v>
      </c>
      <c r="AH5" s="243">
        <v>5.1005160550458708</v>
      </c>
      <c r="AN5" s="242"/>
    </row>
    <row r="6" spans="1:40" x14ac:dyDescent="0.2">
      <c r="A6" s="243" t="s">
        <v>295</v>
      </c>
      <c r="B6" s="243">
        <v>1.49</v>
      </c>
      <c r="C6" s="245">
        <v>0</v>
      </c>
      <c r="D6" s="243">
        <v>0.02</v>
      </c>
      <c r="E6" s="243">
        <v>0.05</v>
      </c>
      <c r="F6" s="243">
        <f>SUM('Students worksheet'!B6:E6)</f>
        <v>1.56</v>
      </c>
      <c r="I6" s="243" t="s">
        <v>400</v>
      </c>
      <c r="J6" s="243">
        <v>0.03</v>
      </c>
      <c r="K6" s="243">
        <v>0.01</v>
      </c>
      <c r="M6" s="359"/>
      <c r="N6" s="243" t="s">
        <v>401</v>
      </c>
      <c r="O6" s="246">
        <f>O3/B34</f>
        <v>99500000</v>
      </c>
      <c r="Z6" s="359"/>
      <c r="AA6" s="243" t="s">
        <v>232</v>
      </c>
      <c r="AB6" s="243">
        <v>69.871794871794876</v>
      </c>
      <c r="AD6" s="243" t="s">
        <v>324</v>
      </c>
      <c r="AE6" s="243">
        <v>12.739408895375632</v>
      </c>
      <c r="AF6" s="245"/>
      <c r="AG6" s="243">
        <v>2.2547626363496699E-2</v>
      </c>
      <c r="AH6" s="243"/>
      <c r="AN6" s="242"/>
    </row>
    <row r="7" spans="1:40" x14ac:dyDescent="0.2">
      <c r="A7" s="243" t="s">
        <v>296</v>
      </c>
      <c r="B7" s="245">
        <v>0</v>
      </c>
      <c r="C7" s="243">
        <v>0.01</v>
      </c>
      <c r="D7" s="243">
        <v>0.21</v>
      </c>
      <c r="E7" s="245">
        <v>0</v>
      </c>
      <c r="F7" s="243">
        <f>SUM('Students worksheet'!B7:E7)</f>
        <v>0.22</v>
      </c>
      <c r="I7" s="243" t="s">
        <v>222</v>
      </c>
      <c r="J7" s="245">
        <v>3.13</v>
      </c>
      <c r="K7" s="243">
        <v>100</v>
      </c>
      <c r="M7" s="359"/>
      <c r="N7" s="243" t="s">
        <v>402</v>
      </c>
      <c r="O7" s="246">
        <f>O3/B35</f>
        <v>1990000.0000000002</v>
      </c>
      <c r="Z7" s="359"/>
      <c r="AA7" s="243" t="s">
        <v>179</v>
      </c>
      <c r="AB7" s="243">
        <v>59.090909090909093</v>
      </c>
      <c r="AD7" s="247" t="s">
        <v>228</v>
      </c>
      <c r="AE7" s="243">
        <v>6.4313829850746282</v>
      </c>
      <c r="AF7" s="243">
        <v>2.2738571641791046</v>
      </c>
      <c r="AG7" s="243">
        <v>2.6909552238805975E-2</v>
      </c>
      <c r="AH7" s="243">
        <v>0.28255029850746272</v>
      </c>
      <c r="AN7" s="242"/>
    </row>
    <row r="8" spans="1:40" x14ac:dyDescent="0.2">
      <c r="A8" s="243" t="s">
        <v>222</v>
      </c>
      <c r="B8" s="243">
        <f>SUM(B4:B7)</f>
        <v>8.7200000000000006</v>
      </c>
      <c r="C8" s="243">
        <f>SUM(C4:C7)</f>
        <v>5.66</v>
      </c>
      <c r="D8" s="243">
        <f>SUM(D4:D7)</f>
        <v>6.7</v>
      </c>
      <c r="E8" s="243">
        <f>SUM(E4:E7)</f>
        <v>2.6199999999999997</v>
      </c>
      <c r="F8" s="243">
        <f>SUM('Students worksheet'!B8:E8)</f>
        <v>23.700000000000003</v>
      </c>
      <c r="M8" s="359"/>
      <c r="N8" s="243" t="s">
        <v>403</v>
      </c>
      <c r="O8" s="246">
        <f>O3/B38</f>
        <v>298.64932466233114</v>
      </c>
      <c r="Z8" s="359"/>
      <c r="AA8" s="243" t="s">
        <v>400</v>
      </c>
      <c r="AB8" s="243">
        <v>64.481351981351992</v>
      </c>
      <c r="AD8" s="247" t="s">
        <v>229</v>
      </c>
      <c r="AE8" s="243">
        <v>1.1965064885496186</v>
      </c>
      <c r="AF8" s="243">
        <v>2.2585740458015273</v>
      </c>
      <c r="AG8" s="243">
        <v>6.721946564885499E-2</v>
      </c>
      <c r="AH8" s="243"/>
      <c r="AN8" s="242"/>
    </row>
    <row r="9" spans="1:40" x14ac:dyDescent="0.2">
      <c r="I9" s="361" t="s">
        <v>404</v>
      </c>
      <c r="J9" s="361"/>
      <c r="M9" s="359"/>
      <c r="R9" s="365" t="s">
        <v>394</v>
      </c>
      <c r="S9" s="365"/>
      <c r="T9" s="365"/>
      <c r="U9" s="365"/>
      <c r="Z9" s="359"/>
      <c r="AD9" s="248" t="s">
        <v>239</v>
      </c>
      <c r="AE9" s="243">
        <v>1.3080270000000001</v>
      </c>
      <c r="AF9" s="243">
        <v>4.8583860000000012</v>
      </c>
      <c r="AG9" s="243"/>
      <c r="AH9" s="243">
        <v>6.2287000000000009E-2</v>
      </c>
      <c r="AN9" s="242"/>
    </row>
    <row r="10" spans="1:40" x14ac:dyDescent="0.2">
      <c r="A10" s="361" t="s">
        <v>290</v>
      </c>
      <c r="B10" s="361"/>
      <c r="C10" s="361"/>
      <c r="D10" s="361"/>
      <c r="E10" s="361"/>
      <c r="I10" s="243" t="s">
        <v>291</v>
      </c>
      <c r="J10" s="243" t="s">
        <v>405</v>
      </c>
      <c r="M10" s="359"/>
      <c r="N10" s="243" t="s">
        <v>396</v>
      </c>
      <c r="O10" s="243" t="s">
        <v>406</v>
      </c>
      <c r="P10" s="243" t="s">
        <v>407</v>
      </c>
      <c r="Q10" s="243" t="s">
        <v>408</v>
      </c>
      <c r="R10" s="243" t="s">
        <v>178</v>
      </c>
      <c r="S10" s="243" t="s">
        <v>143</v>
      </c>
      <c r="T10" s="243" t="s">
        <v>179</v>
      </c>
      <c r="U10" s="243" t="s">
        <v>397</v>
      </c>
      <c r="V10" s="243" t="s">
        <v>409</v>
      </c>
      <c r="Z10" s="359"/>
      <c r="AN10" s="242"/>
    </row>
    <row r="11" spans="1:40" ht="15" x14ac:dyDescent="0.25">
      <c r="A11" s="243" t="s">
        <v>291</v>
      </c>
      <c r="B11" s="243" t="str">
        <f>'Students worksheet'!B3</f>
        <v xml:space="preserve">Mining </v>
      </c>
      <c r="C11" s="243" t="str">
        <f>'Students worksheet'!C3</f>
        <v>Concentrate</v>
      </c>
      <c r="D11" s="243" t="str">
        <f>'Students worksheet'!D3</f>
        <v>Smelting</v>
      </c>
      <c r="E11" s="243" t="str">
        <f>'Students worksheet'!E3</f>
        <v>Refining</v>
      </c>
      <c r="I11" s="243" t="s">
        <v>293</v>
      </c>
      <c r="J11" s="243"/>
      <c r="M11" s="359"/>
      <c r="N11" s="243" t="s">
        <v>226</v>
      </c>
      <c r="O11" s="243" t="s">
        <v>244</v>
      </c>
      <c r="P11" s="246">
        <f>O6</f>
        <v>99500000</v>
      </c>
      <c r="Q11" s="243">
        <f>P11*B19/1000000</f>
        <v>29.85</v>
      </c>
      <c r="R11" s="243">
        <f>$Q$11*B$12</f>
        <v>24.749483944954129</v>
      </c>
      <c r="S11" s="245" t="s">
        <v>231</v>
      </c>
      <c r="T11" s="245" t="s">
        <v>231</v>
      </c>
      <c r="U11" s="243">
        <f>Q11*B14</f>
        <v>5.1005160550458708</v>
      </c>
      <c r="V11" s="249">
        <f>Q11/$O$3</f>
        <v>0.1</v>
      </c>
      <c r="Z11" s="359"/>
      <c r="AD11" s="366" t="s">
        <v>410</v>
      </c>
      <c r="AE11" s="366"/>
      <c r="AF11" s="366"/>
      <c r="AG11" s="366"/>
      <c r="AH11" s="366"/>
      <c r="AN11" s="242"/>
    </row>
    <row r="12" spans="1:40" x14ac:dyDescent="0.2">
      <c r="A12" s="243" t="s">
        <v>293</v>
      </c>
      <c r="B12" s="250">
        <f>B4/B$8</f>
        <v>0.82912844036697242</v>
      </c>
      <c r="C12" s="250">
        <f>C4/C$8</f>
        <v>0.99823321554770317</v>
      </c>
      <c r="D12" s="250">
        <f>D4/D$8</f>
        <v>0.71343283582089556</v>
      </c>
      <c r="E12" s="250">
        <f>E4/E$8</f>
        <v>0.33969465648854968</v>
      </c>
      <c r="I12" s="243" t="s">
        <v>294</v>
      </c>
      <c r="J12" s="243">
        <f>305/3.37</f>
        <v>90.504451038575667</v>
      </c>
      <c r="M12" s="359"/>
      <c r="N12" s="243" t="s">
        <v>324</v>
      </c>
      <c r="O12" s="243" t="s">
        <v>244</v>
      </c>
      <c r="P12" s="246">
        <f>(P11-(P11/6.9))</f>
        <v>85079710.144927531</v>
      </c>
      <c r="Q12" s="243">
        <f>P12*B20/1000000</f>
        <v>12.76195652173913</v>
      </c>
      <c r="R12" s="243">
        <f>Q12*C12</f>
        <v>12.739408895375632</v>
      </c>
      <c r="S12" s="243"/>
      <c r="T12" s="243">
        <f>Q12*C15</f>
        <v>2.2547626363496696E-2</v>
      </c>
      <c r="U12" s="243"/>
      <c r="V12" s="243">
        <f>Q12/$O$3</f>
        <v>4.2753623188405795E-2</v>
      </c>
      <c r="Z12" s="359"/>
      <c r="AD12" s="243" t="s">
        <v>396</v>
      </c>
      <c r="AE12" s="243" t="s">
        <v>178</v>
      </c>
      <c r="AF12" s="243" t="s">
        <v>143</v>
      </c>
      <c r="AG12" s="243" t="s">
        <v>179</v>
      </c>
      <c r="AH12" s="243" t="s">
        <v>397</v>
      </c>
      <c r="AI12" s="243" t="s">
        <v>222</v>
      </c>
      <c r="AJ12" s="243" t="s">
        <v>411</v>
      </c>
      <c r="AN12" s="242"/>
    </row>
    <row r="13" spans="1:40" ht="14.25" customHeight="1" x14ac:dyDescent="0.2">
      <c r="A13" s="243" t="s">
        <v>294</v>
      </c>
      <c r="B13" s="250">
        <f t="shared" ref="B13:E15" si="0">B5/B$8</f>
        <v>0</v>
      </c>
      <c r="C13" s="250">
        <f t="shared" si="0"/>
        <v>0</v>
      </c>
      <c r="D13" s="250">
        <f t="shared" si="0"/>
        <v>0.25223880597014925</v>
      </c>
      <c r="E13" s="250">
        <f t="shared" si="0"/>
        <v>0.6412213740458016</v>
      </c>
      <c r="I13" s="243" t="s">
        <v>400</v>
      </c>
      <c r="J13" s="243">
        <f>(C29+C30)/2</f>
        <v>64.481351981351992</v>
      </c>
      <c r="M13" s="359"/>
      <c r="N13" s="243" t="s">
        <v>228</v>
      </c>
      <c r="O13" s="243" t="s">
        <v>412</v>
      </c>
      <c r="P13" s="246">
        <f>O7</f>
        <v>1990000.0000000002</v>
      </c>
      <c r="Q13" s="247">
        <f>P13*B21/1000000</f>
        <v>9.0147000000000013</v>
      </c>
      <c r="R13" s="247">
        <f>Q13*D12</f>
        <v>6.4313829850746282</v>
      </c>
      <c r="S13" s="247">
        <f>Q13*D13</f>
        <v>2.2738571641791046</v>
      </c>
      <c r="T13" s="247">
        <f>D15*Q13</f>
        <v>0.28255029850746272</v>
      </c>
      <c r="U13" s="247">
        <f>Q13*D14</f>
        <v>2.6909552238805975E-2</v>
      </c>
      <c r="V13" s="243">
        <f>Q13/$O$3</f>
        <v>3.0200000000000005E-2</v>
      </c>
      <c r="Z13" s="359"/>
      <c r="AD13" s="243" t="s">
        <v>226</v>
      </c>
      <c r="AE13" s="251"/>
      <c r="AF13" s="243">
        <v>0</v>
      </c>
      <c r="AG13" s="243">
        <v>0</v>
      </c>
      <c r="AH13" s="243">
        <f>(AH5*$AB$6*10^6)/1000000</f>
        <v>356.38221153846149</v>
      </c>
      <c r="AI13" s="243">
        <f>SUM(AE13:AH13)</f>
        <v>356.38221153846149</v>
      </c>
      <c r="AJ13" s="243">
        <f>AI13/$O$3</f>
        <v>1.1939102564102562</v>
      </c>
      <c r="AN13" s="242"/>
    </row>
    <row r="14" spans="1:40" x14ac:dyDescent="0.2">
      <c r="A14" s="243" t="s">
        <v>295</v>
      </c>
      <c r="B14" s="250">
        <f>B6/B$8</f>
        <v>0.1708715596330275</v>
      </c>
      <c r="C14" s="250">
        <f t="shared" si="0"/>
        <v>0</v>
      </c>
      <c r="D14" s="250">
        <f t="shared" si="0"/>
        <v>2.9850746268656717E-3</v>
      </c>
      <c r="E14" s="250">
        <f t="shared" si="0"/>
        <v>1.9083969465648859E-2</v>
      </c>
      <c r="M14" s="359"/>
      <c r="N14" s="243" t="s">
        <v>229</v>
      </c>
      <c r="O14" s="243" t="s">
        <v>412</v>
      </c>
      <c r="P14" s="246">
        <f>O7</f>
        <v>1990000.0000000002</v>
      </c>
      <c r="Q14" s="247">
        <f>P14*B22/1000000</f>
        <v>3.5223000000000004</v>
      </c>
      <c r="R14" s="247">
        <f>Q14*E12</f>
        <v>1.1965064885496186</v>
      </c>
      <c r="S14" s="247">
        <f>Q14*E13</f>
        <v>2.2585740458015273</v>
      </c>
      <c r="T14" s="247">
        <f>E15*Q14</f>
        <v>0</v>
      </c>
      <c r="U14" s="247">
        <f>Q14*E14</f>
        <v>6.721946564885499E-2</v>
      </c>
      <c r="V14" s="243">
        <f>Q14/$O$3</f>
        <v>1.1800000000000001E-2</v>
      </c>
      <c r="Z14" s="359"/>
      <c r="AA14" s="252"/>
      <c r="AD14" s="243" t="s">
        <v>324</v>
      </c>
      <c r="AE14" s="251"/>
      <c r="AF14" s="245">
        <v>0</v>
      </c>
      <c r="AG14" s="243">
        <f>(AG6*$AB$7*10^6)/1000000</f>
        <v>1.3323597396611686</v>
      </c>
      <c r="AH14" s="245">
        <v>0</v>
      </c>
      <c r="AI14" s="243">
        <f>SUM(AE14:AH14)</f>
        <v>1.3323597396611686</v>
      </c>
      <c r="AJ14" s="253">
        <f>AI14/$O$3</f>
        <v>4.4635167157828096E-3</v>
      </c>
      <c r="AN14" s="242"/>
    </row>
    <row r="15" spans="1:40" x14ac:dyDescent="0.2">
      <c r="A15" s="243" t="s">
        <v>296</v>
      </c>
      <c r="B15" s="250">
        <f t="shared" si="0"/>
        <v>0</v>
      </c>
      <c r="C15" s="250">
        <f t="shared" si="0"/>
        <v>1.7667844522968198E-3</v>
      </c>
      <c r="D15" s="250">
        <f t="shared" si="0"/>
        <v>3.134328358208955E-2</v>
      </c>
      <c r="E15" s="250">
        <f t="shared" si="0"/>
        <v>0</v>
      </c>
      <c r="F15" s="254"/>
      <c r="M15" s="359"/>
      <c r="N15" s="255" t="s">
        <v>239</v>
      </c>
      <c r="O15" s="255" t="s">
        <v>413</v>
      </c>
      <c r="P15" s="256">
        <f>O7</f>
        <v>1990000.0000000002</v>
      </c>
      <c r="Q15" s="255">
        <f>P15*J7/1000000</f>
        <v>6.2287000000000008</v>
      </c>
      <c r="R15" s="248">
        <f>Q15*K4</f>
        <v>1.3080270000000001</v>
      </c>
      <c r="S15" s="248">
        <f>Q15*K5</f>
        <v>4.8583860000000012</v>
      </c>
      <c r="T15" s="248"/>
      <c r="U15" s="248">
        <f>Q15*K6</f>
        <v>6.2287000000000009E-2</v>
      </c>
      <c r="V15" s="243">
        <f>Q15/$O$3</f>
        <v>2.0866666666666669E-2</v>
      </c>
      <c r="Z15" s="359"/>
      <c r="AD15" s="243" t="s">
        <v>228</v>
      </c>
      <c r="AE15" s="251"/>
      <c r="AF15" s="243">
        <f>(AF7*10^6*$AB$5)/1000000</f>
        <v>205.79419438416227</v>
      </c>
      <c r="AG15" s="243">
        <f>(AG7*$AB$7*10^6)/1000000</f>
        <v>1.5901099050203531</v>
      </c>
      <c r="AH15" s="243">
        <f>(AH7*$AB$6*10^6)/1000000</f>
        <v>19.742296498277845</v>
      </c>
      <c r="AI15" s="243">
        <f>SUM(AE15:AH15)</f>
        <v>227.12660078746046</v>
      </c>
      <c r="AJ15" s="243">
        <f>AI15/$O$3</f>
        <v>0.76089313496636668</v>
      </c>
      <c r="AN15" s="242"/>
    </row>
    <row r="16" spans="1:40" x14ac:dyDescent="0.2">
      <c r="M16" s="359"/>
      <c r="Q16" s="257"/>
      <c r="R16" s="257"/>
      <c r="Z16" s="359"/>
      <c r="AD16" s="243" t="s">
        <v>229</v>
      </c>
      <c r="AE16" s="251"/>
      <c r="AF16" s="243">
        <f>(AF8*10^6*$AB$5)/1000000</f>
        <v>204.41100414524209</v>
      </c>
      <c r="AG16" s="243">
        <f>(AG8*$AB$7*10^6)/1000000</f>
        <v>3.9720593337959769</v>
      </c>
      <c r="AH16" s="245">
        <v>0</v>
      </c>
      <c r="AI16" s="243">
        <f>SUM(AE16:AH16)</f>
        <v>208.38306347903807</v>
      </c>
      <c r="AJ16" s="243">
        <f>AI16/$O$3</f>
        <v>0.69810071517265682</v>
      </c>
      <c r="AN16" s="242"/>
    </row>
    <row r="17" spans="1:40" x14ac:dyDescent="0.2">
      <c r="A17" s="361" t="s">
        <v>297</v>
      </c>
      <c r="B17" s="361"/>
      <c r="C17" s="361"/>
      <c r="M17" s="359"/>
      <c r="Q17" s="258"/>
      <c r="Z17" s="359"/>
      <c r="AD17" s="243" t="s">
        <v>239</v>
      </c>
      <c r="AE17" s="251"/>
      <c r="AF17" s="243">
        <f>(AF9*10^6*$AB$5)/1000000</f>
        <v>439.70555786350155</v>
      </c>
      <c r="AG17" s="245">
        <v>0</v>
      </c>
      <c r="AH17" s="243">
        <f>(AH9*AB6*10^6)/1000000</f>
        <v>4.3521044871794885</v>
      </c>
      <c r="AI17" s="243">
        <f>SUM(AE17:AH17)</f>
        <v>444.05766235068103</v>
      </c>
      <c r="AJ17" s="243">
        <f>AI17/$O$3</f>
        <v>1.4876303596337723</v>
      </c>
      <c r="AN17" s="242"/>
    </row>
    <row r="18" spans="1:40" x14ac:dyDescent="0.2">
      <c r="A18" s="243"/>
      <c r="B18" s="243" t="s">
        <v>235</v>
      </c>
      <c r="C18" s="243" t="s">
        <v>43</v>
      </c>
      <c r="M18" s="359"/>
      <c r="Z18" s="359"/>
      <c r="AN18" s="242"/>
    </row>
    <row r="19" spans="1:40" ht="15" x14ac:dyDescent="0.25">
      <c r="A19" s="243" t="s">
        <v>226</v>
      </c>
      <c r="B19" s="243">
        <v>0.3</v>
      </c>
      <c r="C19" s="243" t="s">
        <v>236</v>
      </c>
      <c r="J19" s="254"/>
      <c r="M19" s="359"/>
      <c r="Z19" s="359"/>
      <c r="AA19" s="358" t="s">
        <v>414</v>
      </c>
      <c r="AB19" s="358"/>
      <c r="AC19" s="358"/>
      <c r="AD19" s="358"/>
      <c r="AE19" s="358"/>
      <c r="AF19" s="358"/>
      <c r="AG19" s="358"/>
      <c r="AH19" s="358"/>
      <c r="AI19" s="358"/>
      <c r="AJ19" s="358"/>
      <c r="AK19" s="358"/>
      <c r="AL19" s="358"/>
      <c r="AN19" s="242"/>
    </row>
    <row r="20" spans="1:40" ht="15" x14ac:dyDescent="0.25">
      <c r="A20" s="243" t="s">
        <v>227</v>
      </c>
      <c r="B20" s="243">
        <v>0.15</v>
      </c>
      <c r="C20" s="243" t="s">
        <v>237</v>
      </c>
      <c r="J20" s="259"/>
      <c r="M20" s="359"/>
      <c r="N20" s="358" t="s">
        <v>415</v>
      </c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9"/>
      <c r="AN20" s="242"/>
    </row>
    <row r="21" spans="1:40" x14ac:dyDescent="0.2">
      <c r="A21" s="243" t="s">
        <v>228</v>
      </c>
      <c r="B21" s="243">
        <v>4.53</v>
      </c>
      <c r="C21" s="243" t="s">
        <v>238</v>
      </c>
      <c r="M21" s="359"/>
      <c r="N21" s="243"/>
      <c r="O21" s="243" t="s">
        <v>178</v>
      </c>
      <c r="P21" s="243" t="s">
        <v>143</v>
      </c>
      <c r="Q21" s="243" t="s">
        <v>179</v>
      </c>
      <c r="R21" s="243" t="s">
        <v>397</v>
      </c>
      <c r="Z21" s="359"/>
      <c r="AJ21" s="260"/>
      <c r="AN21" s="242"/>
    </row>
    <row r="22" spans="1:40" x14ac:dyDescent="0.2">
      <c r="A22" s="243" t="s">
        <v>229</v>
      </c>
      <c r="B22" s="243">
        <v>1.77</v>
      </c>
      <c r="C22" s="243" t="s">
        <v>238</v>
      </c>
      <c r="M22" s="359"/>
      <c r="N22" s="243" t="s">
        <v>226</v>
      </c>
      <c r="O22" s="243">
        <f>R11</f>
        <v>24.749483944954129</v>
      </c>
      <c r="P22" s="243" t="str">
        <f t="shared" ref="P22:R26" si="1">S11</f>
        <v>-</v>
      </c>
      <c r="Q22" s="243" t="str">
        <f t="shared" si="1"/>
        <v>-</v>
      </c>
      <c r="R22" s="243">
        <f t="shared" si="1"/>
        <v>5.1005160550458708</v>
      </c>
      <c r="Z22" s="359"/>
      <c r="AJ22" s="260"/>
      <c r="AN22" s="242"/>
    </row>
    <row r="23" spans="1:40" x14ac:dyDescent="0.2">
      <c r="M23" s="359"/>
      <c r="N23" s="243" t="s">
        <v>416</v>
      </c>
      <c r="O23" s="243">
        <f>R12</f>
        <v>12.739408895375632</v>
      </c>
      <c r="P23" s="243">
        <f t="shared" si="1"/>
        <v>0</v>
      </c>
      <c r="Q23" s="243">
        <f t="shared" si="1"/>
        <v>2.2547626363496696E-2</v>
      </c>
      <c r="R23" s="243">
        <f t="shared" si="1"/>
        <v>0</v>
      </c>
      <c r="Z23" s="359"/>
      <c r="AJ23" s="260"/>
      <c r="AN23" s="242"/>
    </row>
    <row r="24" spans="1:40" x14ac:dyDescent="0.2">
      <c r="M24" s="359"/>
      <c r="N24" s="243" t="s">
        <v>228</v>
      </c>
      <c r="O24" s="243">
        <f>R13</f>
        <v>6.4313829850746282</v>
      </c>
      <c r="P24" s="243">
        <f t="shared" si="1"/>
        <v>2.2738571641791046</v>
      </c>
      <c r="Q24" s="243">
        <f t="shared" si="1"/>
        <v>0.28255029850746272</v>
      </c>
      <c r="R24" s="243">
        <f t="shared" si="1"/>
        <v>2.6909552238805975E-2</v>
      </c>
      <c r="Z24" s="359"/>
      <c r="AJ24" s="260"/>
      <c r="AN24" s="242"/>
    </row>
    <row r="25" spans="1:40" x14ac:dyDescent="0.2">
      <c r="A25" s="361" t="s">
        <v>417</v>
      </c>
      <c r="B25" s="361"/>
      <c r="C25" s="361"/>
      <c r="M25" s="359"/>
      <c r="N25" s="243" t="s">
        <v>229</v>
      </c>
      <c r="O25" s="243">
        <f>R14</f>
        <v>1.1965064885496186</v>
      </c>
      <c r="P25" s="243">
        <f t="shared" si="1"/>
        <v>2.2585740458015273</v>
      </c>
      <c r="Q25" s="243">
        <f t="shared" si="1"/>
        <v>0</v>
      </c>
      <c r="R25" s="243">
        <f t="shared" si="1"/>
        <v>6.721946564885499E-2</v>
      </c>
      <c r="Z25" s="359"/>
      <c r="AN25" s="242"/>
    </row>
    <row r="26" spans="1:40" x14ac:dyDescent="0.2">
      <c r="A26" s="243"/>
      <c r="B26" s="243" t="s">
        <v>418</v>
      </c>
      <c r="C26" s="243" t="s">
        <v>405</v>
      </c>
      <c r="M26" s="359"/>
      <c r="N26" s="243" t="s">
        <v>239</v>
      </c>
      <c r="O26" s="243">
        <f>R15</f>
        <v>1.3080270000000001</v>
      </c>
      <c r="P26" s="243">
        <f t="shared" si="1"/>
        <v>4.8583860000000012</v>
      </c>
      <c r="Q26" s="243">
        <f t="shared" si="1"/>
        <v>0</v>
      </c>
      <c r="R26" s="243">
        <f t="shared" si="1"/>
        <v>6.2287000000000009E-2</v>
      </c>
      <c r="Z26" s="359"/>
      <c r="AN26" s="242"/>
    </row>
    <row r="27" spans="1:40" x14ac:dyDescent="0.2">
      <c r="A27" s="243" t="s">
        <v>178</v>
      </c>
      <c r="B27" s="245" t="s">
        <v>231</v>
      </c>
      <c r="C27" s="243"/>
      <c r="M27" s="359"/>
      <c r="Z27" s="359"/>
      <c r="AN27" s="242"/>
    </row>
    <row r="28" spans="1:40" x14ac:dyDescent="0.2">
      <c r="A28" s="243" t="s">
        <v>143</v>
      </c>
      <c r="B28" s="243">
        <v>305000</v>
      </c>
      <c r="C28" s="243">
        <f>305/3.37</f>
        <v>90.504451038575667</v>
      </c>
      <c r="M28" s="359"/>
      <c r="Z28" s="359"/>
      <c r="AN28" s="242"/>
    </row>
    <row r="29" spans="1:40" x14ac:dyDescent="0.2">
      <c r="A29" s="243" t="s">
        <v>232</v>
      </c>
      <c r="B29" s="243">
        <v>109000</v>
      </c>
      <c r="C29" s="243">
        <f>109/1.56</f>
        <v>69.871794871794876</v>
      </c>
      <c r="M29" s="359"/>
      <c r="Z29" s="359"/>
      <c r="AN29" s="242"/>
    </row>
    <row r="30" spans="1:40" x14ac:dyDescent="0.2">
      <c r="A30" s="243" t="s">
        <v>179</v>
      </c>
      <c r="B30" s="243">
        <v>13000</v>
      </c>
      <c r="C30" s="243">
        <f>13/0.22</f>
        <v>59.090909090909093</v>
      </c>
      <c r="M30" s="359"/>
      <c r="Z30" s="359"/>
      <c r="AN30" s="242"/>
    </row>
    <row r="31" spans="1:40" x14ac:dyDescent="0.2">
      <c r="M31" s="359"/>
      <c r="Z31" s="359"/>
      <c r="AN31" s="242"/>
    </row>
    <row r="32" spans="1:40" x14ac:dyDescent="0.2">
      <c r="A32" s="367" t="s">
        <v>419</v>
      </c>
      <c r="B32" s="367"/>
      <c r="C32" s="367"/>
      <c r="M32" s="359"/>
      <c r="Z32" s="359"/>
      <c r="AN32" s="242"/>
    </row>
    <row r="33" spans="1:40" x14ac:dyDescent="0.2">
      <c r="A33" s="243" t="s">
        <v>242</v>
      </c>
      <c r="B33" s="243" t="s">
        <v>243</v>
      </c>
      <c r="M33" s="359"/>
      <c r="Z33" s="359"/>
      <c r="AN33" s="242"/>
    </row>
    <row r="34" spans="1:40" x14ac:dyDescent="0.2">
      <c r="A34" s="243" t="s">
        <v>244</v>
      </c>
      <c r="B34" s="261">
        <v>3.0000000000000001E-6</v>
      </c>
      <c r="M34" s="359"/>
      <c r="Z34" s="359"/>
      <c r="AN34" s="242"/>
    </row>
    <row r="35" spans="1:40" x14ac:dyDescent="0.2">
      <c r="A35" s="243" t="s">
        <v>245</v>
      </c>
      <c r="B35" s="250">
        <v>1.4999999999999999E-4</v>
      </c>
      <c r="M35" s="359"/>
      <c r="Z35" s="359"/>
      <c r="AN35" s="242"/>
    </row>
    <row r="36" spans="1:40" x14ac:dyDescent="0.2">
      <c r="A36" s="243" t="s">
        <v>246</v>
      </c>
      <c r="B36" s="250">
        <v>2E-3</v>
      </c>
      <c r="M36" s="359"/>
      <c r="Z36" s="359"/>
      <c r="AN36" s="242"/>
    </row>
    <row r="37" spans="1:40" x14ac:dyDescent="0.2">
      <c r="A37" s="243" t="s">
        <v>247</v>
      </c>
      <c r="B37" s="250">
        <v>0.5</v>
      </c>
      <c r="M37" s="359"/>
      <c r="Z37" s="359"/>
      <c r="AN37" s="242"/>
    </row>
    <row r="38" spans="1:40" x14ac:dyDescent="0.2">
      <c r="A38" s="243" t="s">
        <v>248</v>
      </c>
      <c r="B38" s="250">
        <v>0.99950000000000006</v>
      </c>
      <c r="M38" s="359"/>
      <c r="Z38" s="359"/>
      <c r="AN38" s="242"/>
    </row>
    <row r="39" spans="1:40" x14ac:dyDescent="0.2">
      <c r="M39" s="359"/>
      <c r="Z39" s="359"/>
      <c r="AN39" s="242"/>
    </row>
    <row r="40" spans="1:40" x14ac:dyDescent="0.2">
      <c r="M40" s="359"/>
      <c r="Z40" s="359"/>
      <c r="AN40" s="242"/>
    </row>
    <row r="41" spans="1:40" x14ac:dyDescent="0.2">
      <c r="A41" s="262" t="s">
        <v>420</v>
      </c>
      <c r="M41" s="359"/>
      <c r="Z41" s="359"/>
      <c r="AN41" s="242"/>
    </row>
    <row r="42" spans="1:40" x14ac:dyDescent="0.2">
      <c r="M42" s="359"/>
      <c r="Z42" s="359"/>
      <c r="AN42" s="242"/>
    </row>
    <row r="43" spans="1:40" x14ac:dyDescent="0.2">
      <c r="A43" s="243"/>
      <c r="B43" s="243" t="s">
        <v>226</v>
      </c>
      <c r="C43" s="243" t="s">
        <v>416</v>
      </c>
      <c r="D43" s="243" t="s">
        <v>421</v>
      </c>
      <c r="M43" s="359"/>
      <c r="Z43" s="359"/>
      <c r="AN43" s="242"/>
    </row>
    <row r="44" spans="1:40" x14ac:dyDescent="0.2">
      <c r="A44" s="243" t="s">
        <v>422</v>
      </c>
      <c r="B44" s="243">
        <f>B45/B34/1000000</f>
        <v>99.666666666666657</v>
      </c>
      <c r="C44" s="243">
        <f>B44-(B44/6.86)</f>
        <v>85.13799805636539</v>
      </c>
      <c r="D44" s="243">
        <f>D45/B35/1000000</f>
        <v>1.9933333333333334</v>
      </c>
      <c r="M44" s="359"/>
      <c r="Z44" s="359"/>
      <c r="AN44" s="242"/>
    </row>
    <row r="45" spans="1:40" x14ac:dyDescent="0.2">
      <c r="A45" s="243" t="s">
        <v>423</v>
      </c>
      <c r="B45" s="246">
        <v>299</v>
      </c>
      <c r="C45" s="246">
        <v>299</v>
      </c>
      <c r="D45" s="246">
        <v>299</v>
      </c>
      <c r="M45" s="359"/>
      <c r="Z45" s="359"/>
      <c r="AN45" s="242"/>
    </row>
    <row r="46" spans="1:40" x14ac:dyDescent="0.2">
      <c r="A46" s="243" t="s">
        <v>424</v>
      </c>
      <c r="B46" s="243">
        <f>B44-C44</f>
        <v>14.528668610301267</v>
      </c>
      <c r="C46" s="243">
        <f>C44-D44</f>
        <v>83.144664723032051</v>
      </c>
      <c r="D46" s="243">
        <f>((D44*1000000)-D45)/1000000</f>
        <v>1.9930343333333336</v>
      </c>
      <c r="M46" s="359"/>
      <c r="Z46" s="359"/>
      <c r="AN46" s="242"/>
    </row>
    <row r="47" spans="1:40" x14ac:dyDescent="0.2">
      <c r="M47" s="359"/>
      <c r="Z47" s="359"/>
      <c r="AN47" s="242"/>
    </row>
    <row r="48" spans="1:40" x14ac:dyDescent="0.2">
      <c r="M48" s="359"/>
      <c r="Z48" s="359"/>
      <c r="AN48" s="242"/>
    </row>
    <row r="49" spans="13:40" x14ac:dyDescent="0.2">
      <c r="M49" s="359"/>
      <c r="Z49" s="359"/>
      <c r="AN49" s="242"/>
    </row>
    <row r="50" spans="13:40" x14ac:dyDescent="0.2">
      <c r="M50" s="359"/>
      <c r="Z50" s="359"/>
      <c r="AN50" s="242"/>
    </row>
    <row r="51" spans="13:40" ht="15" x14ac:dyDescent="0.25">
      <c r="M51" s="359"/>
      <c r="N51" s="368" t="s">
        <v>425</v>
      </c>
      <c r="O51" s="368"/>
      <c r="P51" s="368"/>
      <c r="Q51" s="368"/>
      <c r="R51" s="368"/>
      <c r="S51" s="368"/>
      <c r="T51" s="368"/>
      <c r="U51" s="368"/>
      <c r="V51" s="368"/>
      <c r="W51" s="368"/>
      <c r="X51" s="368"/>
      <c r="Y51" s="368"/>
      <c r="Z51" s="359"/>
      <c r="AA51" s="358" t="s">
        <v>426</v>
      </c>
      <c r="AB51" s="358"/>
      <c r="AC51" s="358"/>
      <c r="AD51" s="358"/>
      <c r="AE51" s="358"/>
      <c r="AF51" s="358"/>
      <c r="AG51" s="358"/>
      <c r="AH51" s="358"/>
      <c r="AI51" s="358"/>
      <c r="AJ51" s="358"/>
      <c r="AK51" s="358"/>
      <c r="AL51" s="358"/>
      <c r="AN51" s="242"/>
    </row>
    <row r="52" spans="13:40" x14ac:dyDescent="0.2">
      <c r="M52" s="359"/>
      <c r="Z52" s="359"/>
      <c r="AN52" s="242"/>
    </row>
    <row r="53" spans="13:40" x14ac:dyDescent="0.2">
      <c r="M53" s="359"/>
      <c r="N53" s="243"/>
      <c r="O53" s="243" t="s">
        <v>226</v>
      </c>
      <c r="P53" s="243" t="s">
        <v>324</v>
      </c>
      <c r="Q53" s="243" t="s">
        <v>228</v>
      </c>
      <c r="R53" s="243" t="s">
        <v>229</v>
      </c>
      <c r="S53" s="243" t="s">
        <v>239</v>
      </c>
      <c r="T53" s="240" t="s">
        <v>222</v>
      </c>
      <c r="Z53" s="359"/>
      <c r="AA53" s="243"/>
      <c r="AB53" s="243" t="s">
        <v>226</v>
      </c>
      <c r="AC53" s="243" t="s">
        <v>416</v>
      </c>
      <c r="AD53" s="243" t="s">
        <v>228</v>
      </c>
      <c r="AE53" s="243" t="s">
        <v>229</v>
      </c>
      <c r="AF53" s="243" t="s">
        <v>239</v>
      </c>
      <c r="AG53" s="263" t="s">
        <v>427</v>
      </c>
      <c r="AI53" s="240" t="s">
        <v>428</v>
      </c>
      <c r="AN53" s="242"/>
    </row>
    <row r="54" spans="13:40" x14ac:dyDescent="0.2">
      <c r="M54" s="359"/>
      <c r="N54" s="243" t="s">
        <v>429</v>
      </c>
      <c r="O54" s="243">
        <f>Q11</f>
        <v>29.85</v>
      </c>
      <c r="P54" s="243">
        <f>Q12</f>
        <v>12.76195652173913</v>
      </c>
      <c r="Q54" s="243">
        <f>Q13</f>
        <v>9.0147000000000013</v>
      </c>
      <c r="R54" s="243">
        <f>Q14</f>
        <v>3.5223000000000004</v>
      </c>
      <c r="S54" s="243">
        <v>0</v>
      </c>
      <c r="T54" s="240">
        <f>SUM(O54:S54)</f>
        <v>55.148956521739137</v>
      </c>
      <c r="Z54" s="359"/>
      <c r="AA54" s="243" t="s">
        <v>430</v>
      </c>
      <c r="AB54" s="243">
        <f>AI13</f>
        <v>356.38221153846149</v>
      </c>
      <c r="AC54" s="243">
        <f>AI14</f>
        <v>1.3323597396611686</v>
      </c>
      <c r="AD54" s="243">
        <f>AI15</f>
        <v>227.12660078746046</v>
      </c>
      <c r="AE54" s="243">
        <f>AI16</f>
        <v>208.38306347903807</v>
      </c>
      <c r="AF54" s="243">
        <v>0</v>
      </c>
      <c r="AG54" s="240">
        <f>SUM(AB54:AF54)</f>
        <v>793.22423554462125</v>
      </c>
      <c r="AI54" s="243" t="s">
        <v>430</v>
      </c>
      <c r="AJ54" s="243">
        <f>SUM(AE5:AE8)</f>
        <v>45.116782313954005</v>
      </c>
      <c r="AN54" s="242"/>
    </row>
    <row r="55" spans="13:40" x14ac:dyDescent="0.2">
      <c r="M55" s="359"/>
      <c r="N55" s="243" t="s">
        <v>431</v>
      </c>
      <c r="O55" s="243">
        <f>O54</f>
        <v>29.85</v>
      </c>
      <c r="P55" s="243">
        <f>P54</f>
        <v>12.76195652173913</v>
      </c>
      <c r="Q55" s="243">
        <v>0</v>
      </c>
      <c r="R55" s="243">
        <v>0</v>
      </c>
      <c r="S55" s="243">
        <f>Q15</f>
        <v>6.2287000000000008</v>
      </c>
      <c r="T55" s="240">
        <f>SUM(O55:S55)</f>
        <v>48.840656521739135</v>
      </c>
      <c r="Z55" s="359"/>
      <c r="AA55" s="243" t="s">
        <v>432</v>
      </c>
      <c r="AB55" s="243">
        <f>AI13</f>
        <v>356.38221153846149</v>
      </c>
      <c r="AC55" s="243">
        <f>AI14</f>
        <v>1.3323597396611686</v>
      </c>
      <c r="AD55" s="243">
        <v>0</v>
      </c>
      <c r="AE55" s="243">
        <v>0</v>
      </c>
      <c r="AF55" s="243">
        <f>AI17</f>
        <v>444.05766235068103</v>
      </c>
      <c r="AG55" s="240">
        <f>SUM(AB55:AF55)</f>
        <v>801.77223362880363</v>
      </c>
      <c r="AI55" s="243" t="s">
        <v>433</v>
      </c>
      <c r="AJ55" s="243">
        <f>SUM(AE5:AE6)+AE9</f>
        <v>38.796919840329764</v>
      </c>
      <c r="AN55" s="242"/>
    </row>
    <row r="56" spans="13:40" x14ac:dyDescent="0.2">
      <c r="M56" s="359"/>
      <c r="Z56" s="359"/>
      <c r="AH56" s="258"/>
      <c r="AN56" s="242"/>
    </row>
    <row r="57" spans="13:40" x14ac:dyDescent="0.2">
      <c r="M57" s="359"/>
      <c r="Z57" s="359"/>
      <c r="AN57" s="242"/>
    </row>
    <row r="58" spans="13:40" x14ac:dyDescent="0.2">
      <c r="M58" s="359"/>
      <c r="R58" s="258"/>
      <c r="V58" s="264"/>
      <c r="Z58" s="359"/>
      <c r="AN58" s="242"/>
    </row>
    <row r="59" spans="13:40" x14ac:dyDescent="0.2">
      <c r="M59" s="359"/>
      <c r="V59" s="264"/>
      <c r="Z59" s="359"/>
      <c r="AA59" s="243"/>
      <c r="AB59" s="243" t="s">
        <v>226</v>
      </c>
      <c r="AC59" s="243" t="s">
        <v>416</v>
      </c>
      <c r="AD59" s="243" t="s">
        <v>228</v>
      </c>
      <c r="AE59" s="243" t="s">
        <v>229</v>
      </c>
      <c r="AF59" s="243" t="s">
        <v>239</v>
      </c>
      <c r="AG59" s="243"/>
      <c r="AN59" s="242"/>
    </row>
    <row r="60" spans="13:40" x14ac:dyDescent="0.2">
      <c r="M60" s="359"/>
      <c r="Z60" s="359"/>
      <c r="AA60" s="243" t="s">
        <v>429</v>
      </c>
      <c r="AB60" s="243">
        <v>6543.7358731382319</v>
      </c>
      <c r="AC60" s="243">
        <v>3186.1756659973425</v>
      </c>
      <c r="AD60" s="243">
        <v>1834.9678450880281</v>
      </c>
      <c r="AE60" s="243">
        <v>507.50884806190072</v>
      </c>
      <c r="AF60" s="243">
        <v>0</v>
      </c>
      <c r="AG60" s="243">
        <f>SUM(AB60:AF60)</f>
        <v>12072.388232285502</v>
      </c>
      <c r="AN60" s="242"/>
    </row>
    <row r="61" spans="13:40" x14ac:dyDescent="0.2">
      <c r="M61" s="359"/>
      <c r="Z61" s="359"/>
      <c r="AA61" s="243" t="s">
        <v>434</v>
      </c>
      <c r="AB61" s="243">
        <v>6543.7358731382319</v>
      </c>
      <c r="AC61" s="243">
        <v>3186.1756659973425</v>
      </c>
      <c r="AD61" s="243">
        <v>0</v>
      </c>
      <c r="AE61" s="243">
        <v>0</v>
      </c>
      <c r="AF61" s="243">
        <v>771.06349673178113</v>
      </c>
      <c r="AG61" s="243">
        <f>SUM(AB61:AF61)</f>
        <v>10500.975035867355</v>
      </c>
      <c r="AN61" s="242"/>
    </row>
    <row r="62" spans="13:40" x14ac:dyDescent="0.2">
      <c r="M62" s="359"/>
      <c r="Z62" s="359"/>
      <c r="AN62" s="242"/>
    </row>
    <row r="63" spans="13:40" x14ac:dyDescent="0.2">
      <c r="M63" s="359"/>
      <c r="Z63" s="359"/>
      <c r="AN63" s="242"/>
    </row>
    <row r="64" spans="13:40" x14ac:dyDescent="0.2">
      <c r="M64" s="359"/>
      <c r="Z64" s="359"/>
      <c r="AN64" s="242"/>
    </row>
    <row r="65" spans="13:40" x14ac:dyDescent="0.2">
      <c r="M65" s="359"/>
      <c r="Z65" s="359"/>
      <c r="AN65" s="242"/>
    </row>
    <row r="66" spans="13:40" x14ac:dyDescent="0.2">
      <c r="M66" s="359"/>
      <c r="Z66" s="359"/>
      <c r="AN66" s="242"/>
    </row>
    <row r="67" spans="13:40" x14ac:dyDescent="0.2">
      <c r="M67" s="359"/>
      <c r="Z67" s="359"/>
      <c r="AN67" s="242"/>
    </row>
    <row r="68" spans="13:40" x14ac:dyDescent="0.2">
      <c r="M68" s="359"/>
      <c r="Z68" s="359"/>
      <c r="AN68" s="242"/>
    </row>
    <row r="69" spans="13:40" x14ac:dyDescent="0.2">
      <c r="M69" s="359"/>
      <c r="Z69" s="359"/>
      <c r="AN69" s="242"/>
    </row>
    <row r="70" spans="13:40" x14ac:dyDescent="0.2">
      <c r="M70" s="359"/>
      <c r="Z70" s="359"/>
      <c r="AN70" s="242"/>
    </row>
    <row r="71" spans="13:40" x14ac:dyDescent="0.2">
      <c r="M71" s="359"/>
      <c r="Z71" s="359"/>
      <c r="AN71" s="242"/>
    </row>
    <row r="72" spans="13:40" x14ac:dyDescent="0.2">
      <c r="M72" s="359"/>
      <c r="Z72" s="359"/>
      <c r="AN72" s="242"/>
    </row>
    <row r="73" spans="13:40" x14ac:dyDescent="0.2">
      <c r="M73" s="359"/>
      <c r="Z73" s="359"/>
      <c r="AN73" s="242"/>
    </row>
    <row r="74" spans="13:40" x14ac:dyDescent="0.2">
      <c r="M74" s="359"/>
      <c r="Z74" s="359"/>
      <c r="AN74" s="242"/>
    </row>
    <row r="75" spans="13:40" x14ac:dyDescent="0.2">
      <c r="M75" s="359"/>
      <c r="Z75" s="359"/>
      <c r="AN75" s="242"/>
    </row>
    <row r="76" spans="13:40" x14ac:dyDescent="0.2">
      <c r="M76" s="359"/>
      <c r="Z76" s="359"/>
      <c r="AN76" s="242"/>
    </row>
    <row r="77" spans="13:40" x14ac:dyDescent="0.2">
      <c r="M77" s="359"/>
      <c r="Z77" s="359"/>
      <c r="AN77" s="242"/>
    </row>
    <row r="78" spans="13:40" x14ac:dyDescent="0.2">
      <c r="M78" s="359"/>
      <c r="Z78" s="359"/>
      <c r="AN78" s="242"/>
    </row>
    <row r="79" spans="13:40" x14ac:dyDescent="0.2">
      <c r="M79" s="359"/>
      <c r="Z79" s="359"/>
      <c r="AN79" s="242"/>
    </row>
    <row r="80" spans="13:40" x14ac:dyDescent="0.2">
      <c r="M80" s="359"/>
      <c r="Z80" s="359"/>
      <c r="AN80" s="242"/>
    </row>
    <row r="81" spans="13:40" x14ac:dyDescent="0.2">
      <c r="M81" s="359"/>
      <c r="Z81" s="359"/>
      <c r="AN81" s="242"/>
    </row>
    <row r="82" spans="13:40" x14ac:dyDescent="0.2">
      <c r="M82" s="359"/>
      <c r="Z82" s="359"/>
      <c r="AN82" s="242"/>
    </row>
    <row r="83" spans="13:40" x14ac:dyDescent="0.2">
      <c r="Z83" s="359"/>
      <c r="AN83" s="242"/>
    </row>
    <row r="84" spans="13:40" x14ac:dyDescent="0.2">
      <c r="Z84" s="359"/>
      <c r="AN84" s="242"/>
    </row>
    <row r="85" spans="13:40" x14ac:dyDescent="0.2">
      <c r="AN85" s="242"/>
    </row>
  </sheetData>
  <mergeCells count="21">
    <mergeCell ref="N20:Y20"/>
    <mergeCell ref="A25:C25"/>
    <mergeCell ref="A32:C32"/>
    <mergeCell ref="N51:Y51"/>
    <mergeCell ref="AA51:AL51"/>
    <mergeCell ref="AA19:AL19"/>
    <mergeCell ref="A1:F1"/>
    <mergeCell ref="I1:K1"/>
    <mergeCell ref="M1:M82"/>
    <mergeCell ref="Z1:Z84"/>
    <mergeCell ref="AA1:AM1"/>
    <mergeCell ref="A2:F2"/>
    <mergeCell ref="I2:K2"/>
    <mergeCell ref="AA3:AB3"/>
    <mergeCell ref="AD3:AH3"/>
    <mergeCell ref="N5:O5"/>
    <mergeCell ref="I9:J9"/>
    <mergeCell ref="R9:U9"/>
    <mergeCell ref="A10:E10"/>
    <mergeCell ref="AD11:AH11"/>
    <mergeCell ref="A17:C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752-4144-46CD-ACBB-906358077C46}">
  <sheetPr codeName="Sheet34"/>
  <dimension ref="C23:I29"/>
  <sheetViews>
    <sheetView workbookViewId="0"/>
  </sheetViews>
  <sheetFormatPr defaultRowHeight="12.75" x14ac:dyDescent="0.2"/>
  <sheetData>
    <row r="23" spans="3:9" x14ac:dyDescent="0.2">
      <c r="D23">
        <v>2012</v>
      </c>
      <c r="E23">
        <v>2013</v>
      </c>
      <c r="F23">
        <v>2014</v>
      </c>
      <c r="G23">
        <v>2015</v>
      </c>
      <c r="H23">
        <v>2016</v>
      </c>
      <c r="I23">
        <v>2017</v>
      </c>
    </row>
    <row r="24" spans="3:9" x14ac:dyDescent="0.2">
      <c r="C24" s="92" t="s">
        <v>451</v>
      </c>
      <c r="D24">
        <v>254</v>
      </c>
      <c r="E24">
        <v>264</v>
      </c>
      <c r="F24">
        <v>188</v>
      </c>
      <c r="G24">
        <v>276</v>
      </c>
      <c r="H24">
        <v>264</v>
      </c>
      <c r="I24">
        <v>260</v>
      </c>
    </row>
    <row r="26" spans="3:9" x14ac:dyDescent="0.2">
      <c r="C26" s="92" t="s">
        <v>523</v>
      </c>
      <c r="E26">
        <v>28</v>
      </c>
      <c r="F26">
        <v>29</v>
      </c>
      <c r="G26">
        <v>32</v>
      </c>
      <c r="H26">
        <v>31</v>
      </c>
      <c r="I26">
        <v>31</v>
      </c>
    </row>
    <row r="27" spans="3:9" x14ac:dyDescent="0.2">
      <c r="C27" s="92" t="s">
        <v>524</v>
      </c>
      <c r="E27">
        <v>239</v>
      </c>
      <c r="F27">
        <v>202</v>
      </c>
      <c r="G27">
        <v>254</v>
      </c>
      <c r="H27">
        <v>250</v>
      </c>
      <c r="I27">
        <v>251</v>
      </c>
    </row>
    <row r="29" spans="3:9" x14ac:dyDescent="0.2">
      <c r="C29" s="92" t="s">
        <v>525</v>
      </c>
      <c r="E29" s="301">
        <f>E26/E24</f>
        <v>0.10606060606060606</v>
      </c>
      <c r="F29" s="301">
        <f t="shared" ref="F29:I29" si="0">F26/F24</f>
        <v>0.15425531914893617</v>
      </c>
      <c r="G29" s="301">
        <f t="shared" si="0"/>
        <v>0.11594202898550725</v>
      </c>
      <c r="H29" s="301">
        <f t="shared" si="0"/>
        <v>0.11742424242424243</v>
      </c>
      <c r="I29" s="301">
        <f t="shared" si="0"/>
        <v>0.11923076923076924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E854-E2BF-4E78-BADD-E12ED2074CEA}">
  <sheetPr codeName="Sheet35"/>
  <dimension ref="E1:X25"/>
  <sheetViews>
    <sheetView workbookViewId="0"/>
  </sheetViews>
  <sheetFormatPr defaultColWidth="8.85546875" defaultRowHeight="15" x14ac:dyDescent="0.25"/>
  <cols>
    <col min="1" max="4" width="8.85546875" style="266"/>
    <col min="5" max="5" width="15.140625" style="266" customWidth="1"/>
    <col min="6" max="16384" width="8.85546875" style="266"/>
  </cols>
  <sheetData>
    <row r="1" spans="5:19" x14ac:dyDescent="0.25">
      <c r="E1" s="266">
        <v>2017</v>
      </c>
    </row>
    <row r="2" spans="5:19" x14ac:dyDescent="0.25">
      <c r="E2" s="266" t="s">
        <v>436</v>
      </c>
      <c r="H2" s="266" t="s">
        <v>437</v>
      </c>
      <c r="J2" s="266" t="s">
        <v>145</v>
      </c>
    </row>
    <row r="3" spans="5:19" x14ac:dyDescent="0.25">
      <c r="E3" s="267" t="s">
        <v>131</v>
      </c>
      <c r="F3" s="266" t="s">
        <v>117</v>
      </c>
      <c r="G3" s="266" t="s">
        <v>438</v>
      </c>
      <c r="H3" s="267" t="s">
        <v>131</v>
      </c>
      <c r="I3" s="266" t="s">
        <v>439</v>
      </c>
      <c r="J3" s="266" t="s">
        <v>440</v>
      </c>
      <c r="K3" s="266" t="s">
        <v>441</v>
      </c>
      <c r="M3" s="266" t="s">
        <v>442</v>
      </c>
    </row>
    <row r="4" spans="5:19" x14ac:dyDescent="0.25">
      <c r="E4" s="266" t="s">
        <v>171</v>
      </c>
      <c r="F4" s="266">
        <f>SUM('[1]2017 SATIM EB'!$P$31:$P$40)</f>
        <v>0</v>
      </c>
      <c r="G4" s="266">
        <f>F4/$F$8</f>
        <v>0</v>
      </c>
      <c r="H4" s="266" t="s">
        <v>273</v>
      </c>
      <c r="I4" s="266">
        <f>X24</f>
        <v>260</v>
      </c>
      <c r="S4" s="266" t="s">
        <v>443</v>
      </c>
    </row>
    <row r="5" spans="5:19" x14ac:dyDescent="0.25">
      <c r="E5" s="266" t="s">
        <v>186</v>
      </c>
      <c r="F5" s="268">
        <f>SUM('[1]2017 SATIM EB'!$R$31:$R$40)</f>
        <v>4.5246489747494749</v>
      </c>
      <c r="G5" s="266">
        <f t="shared" ref="G5:G8" si="0">F5/$F$8</f>
        <v>0.10324980511857614</v>
      </c>
      <c r="J5" s="266">
        <f>F5/I4</f>
        <v>1.740249605672875E-2</v>
      </c>
      <c r="S5" s="269">
        <f>31/260</f>
        <v>0.11923076923076924</v>
      </c>
    </row>
    <row r="6" spans="5:19" x14ac:dyDescent="0.25">
      <c r="E6" s="266" t="s">
        <v>172</v>
      </c>
      <c r="F6" s="268">
        <f>SUM('[1]2017 SATIM EB'!$S$31:$S$40)</f>
        <v>39.297699837949885</v>
      </c>
      <c r="G6" s="266">
        <f t="shared" si="0"/>
        <v>0.89675019488142382</v>
      </c>
      <c r="J6" s="266">
        <f>F6/I4</f>
        <v>0.15114499937673032</v>
      </c>
      <c r="K6" s="266">
        <f>(F6+F5/2)/I4</f>
        <v>0.15984624740509468</v>
      </c>
    </row>
    <row r="7" spans="5:19" x14ac:dyDescent="0.25">
      <c r="E7" s="266" t="s">
        <v>173</v>
      </c>
      <c r="F7" s="266">
        <f>SUM('[1]2017 SATIM EB'!$T$31:$T$40)</f>
        <v>0</v>
      </c>
      <c r="G7" s="266">
        <f t="shared" si="0"/>
        <v>0</v>
      </c>
    </row>
    <row r="8" spans="5:19" x14ac:dyDescent="0.25">
      <c r="E8" s="266" t="s">
        <v>222</v>
      </c>
      <c r="F8" s="266">
        <f>SUM(F4:F7)</f>
        <v>43.82234881269936</v>
      </c>
      <c r="G8" s="266">
        <f t="shared" si="0"/>
        <v>1</v>
      </c>
    </row>
    <row r="19" spans="17:24" x14ac:dyDescent="0.25">
      <c r="V19" s="266" t="s">
        <v>444</v>
      </c>
      <c r="W19" s="266" t="s">
        <v>445</v>
      </c>
      <c r="X19" s="266" t="s">
        <v>446</v>
      </c>
    </row>
    <row r="20" spans="17:24" x14ac:dyDescent="0.25">
      <c r="V20" s="266">
        <f>11971/31</f>
        <v>386.16129032258067</v>
      </c>
      <c r="W20" s="266">
        <f>85069/251</f>
        <v>338.92031872509961</v>
      </c>
      <c r="X20" s="266">
        <f>97040/X24</f>
        <v>373.23076923076923</v>
      </c>
    </row>
    <row r="23" spans="17:24" x14ac:dyDescent="0.25">
      <c r="S23" s="266">
        <v>2012</v>
      </c>
      <c r="T23" s="266">
        <f>S23+1</f>
        <v>2013</v>
      </c>
      <c r="U23" s="266">
        <f t="shared" ref="U23:X23" si="1">T23+1</f>
        <v>2014</v>
      </c>
      <c r="V23" s="266">
        <f t="shared" si="1"/>
        <v>2015</v>
      </c>
      <c r="W23" s="266">
        <f t="shared" si="1"/>
        <v>2016</v>
      </c>
      <c r="X23" s="266">
        <f t="shared" si="1"/>
        <v>2017</v>
      </c>
    </row>
    <row r="24" spans="17:24" x14ac:dyDescent="0.25">
      <c r="Q24" s="266" t="s">
        <v>447</v>
      </c>
      <c r="S24" s="266">
        <v>254</v>
      </c>
      <c r="T24" s="266">
        <v>264</v>
      </c>
      <c r="U24" s="266">
        <v>188</v>
      </c>
      <c r="V24" s="266">
        <v>276</v>
      </c>
      <c r="W24" s="266">
        <v>264</v>
      </c>
      <c r="X24" s="266">
        <v>260</v>
      </c>
    </row>
    <row r="25" spans="17:24" x14ac:dyDescent="0.25">
      <c r="Q25" s="266" t="s">
        <v>448</v>
      </c>
      <c r="S25" s="266">
        <v>182.4</v>
      </c>
      <c r="T25" s="266">
        <v>205.5</v>
      </c>
      <c r="U25" s="266">
        <v>189.7</v>
      </c>
      <c r="V25" s="266">
        <v>209.5</v>
      </c>
      <c r="W25" s="266">
        <v>196.3</v>
      </c>
      <c r="X25" s="266">
        <v>187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9"/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529</v>
      </c>
      <c r="E1" s="1" t="s">
        <v>349</v>
      </c>
    </row>
    <row r="2" spans="3:5" ht="96" customHeight="1" x14ac:dyDescent="0.2">
      <c r="C2" s="305" t="s">
        <v>543</v>
      </c>
      <c r="D2" s="92" t="s">
        <v>530</v>
      </c>
      <c r="E2" s="304">
        <v>44442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20">
    <tabColor theme="9"/>
  </sheetPr>
  <dimension ref="B3:Q27"/>
  <sheetViews>
    <sheetView workbookViewId="0">
      <selection activeCell="E12" sqref="E12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7" ht="18" thickBot="1" x14ac:dyDescent="0.35">
      <c r="B3" s="93" t="s">
        <v>152</v>
      </c>
      <c r="C3" s="93"/>
      <c r="D3" s="93"/>
      <c r="E3" s="92" t="s">
        <v>155</v>
      </c>
    </row>
    <row r="4" spans="2:17" ht="13.5" thickTop="1" x14ac:dyDescent="0.2"/>
    <row r="5" spans="2:17" x14ac:dyDescent="0.2">
      <c r="B5" s="92" t="s">
        <v>153</v>
      </c>
      <c r="C5" s="92" t="s">
        <v>15</v>
      </c>
      <c r="D5" s="92" t="s">
        <v>156</v>
      </c>
    </row>
    <row r="6" spans="2:17" ht="15" x14ac:dyDescent="0.25">
      <c r="B6" s="92" t="s">
        <v>154</v>
      </c>
      <c r="C6" s="92" t="s">
        <v>157</v>
      </c>
      <c r="E6" s="121">
        <v>1</v>
      </c>
    </row>
    <row r="7" spans="2:17" x14ac:dyDescent="0.2">
      <c r="D7" t="str">
        <f ca="1">Commodities_BASE!A2</f>
        <v>Commodities_BASE</v>
      </c>
      <c r="E7" s="122">
        <f>$E$6</f>
        <v>1</v>
      </c>
    </row>
    <row r="8" spans="2:17" x14ac:dyDescent="0.2">
      <c r="D8" t="str">
        <f ca="1">CommData_BASE!A2</f>
        <v>CommData_BASE</v>
      </c>
      <c r="E8" s="122">
        <f>$E$6</f>
        <v>1</v>
      </c>
      <c r="L8" s="92" t="s">
        <v>584</v>
      </c>
    </row>
    <row r="9" spans="2:17" x14ac:dyDescent="0.2">
      <c r="D9" t="str">
        <f ca="1">Processes_BASE!A2</f>
        <v>Processes_BASE</v>
      </c>
      <c r="E9" s="122">
        <f>$E$6</f>
        <v>1</v>
      </c>
    </row>
    <row r="10" spans="2:17" x14ac:dyDescent="0.2">
      <c r="D10" t="str">
        <f ca="1">ProcData_PGM!A2</f>
        <v>ProcData_PGM</v>
      </c>
      <c r="E10" s="122">
        <f>$E$6</f>
        <v>1</v>
      </c>
      <c r="L10" s="92" t="s">
        <v>585</v>
      </c>
      <c r="M10" t="b">
        <v>0</v>
      </c>
    </row>
    <row r="11" spans="2:17" x14ac:dyDescent="0.2">
      <c r="D11" t="str">
        <f ca="1">ProcData_PGMexports!A2</f>
        <v>ProcData_PGMexports</v>
      </c>
      <c r="E11" s="122">
        <v>1</v>
      </c>
      <c r="L11" s="92" t="s">
        <v>586</v>
      </c>
      <c r="M11" t="s">
        <v>587</v>
      </c>
    </row>
    <row r="12" spans="2:17" x14ac:dyDescent="0.2">
      <c r="E12" s="122"/>
      <c r="F12" s="92"/>
    </row>
    <row r="13" spans="2:17" x14ac:dyDescent="0.2">
      <c r="E13" s="122"/>
      <c r="N13" s="92" t="s">
        <v>589</v>
      </c>
      <c r="Q13" s="92" t="s">
        <v>590</v>
      </c>
    </row>
    <row r="14" spans="2:17" x14ac:dyDescent="0.2">
      <c r="E14" s="122"/>
      <c r="L14" s="92" t="s">
        <v>587</v>
      </c>
      <c r="N14" s="335">
        <v>0.05</v>
      </c>
      <c r="O14" s="338" t="s">
        <v>592</v>
      </c>
      <c r="Q14" s="335">
        <f>'[1]PAMS central control panel'!$P$47</f>
        <v>0.04</v>
      </c>
    </row>
    <row r="15" spans="2:17" x14ac:dyDescent="0.2">
      <c r="E15" s="122"/>
      <c r="L15" s="92" t="s">
        <v>588</v>
      </c>
      <c r="N15" s="337">
        <f>N14/2</f>
        <v>2.5000000000000001E-2</v>
      </c>
      <c r="Q15">
        <f>Q14/2</f>
        <v>0.02</v>
      </c>
    </row>
    <row r="16" spans="2:17" x14ac:dyDescent="0.2">
      <c r="E16" s="122"/>
      <c r="L16" s="92" t="s">
        <v>591</v>
      </c>
      <c r="N16">
        <f>INDEX(N14:N15,MATCH($M$11,$L$14:$L$15,0))</f>
        <v>0.05</v>
      </c>
      <c r="Q16">
        <f>INDEX(Q14:Q15,MATCH($M$11,$L$14:$L$15,0))</f>
        <v>0.04</v>
      </c>
    </row>
    <row r="17" spans="5:5" x14ac:dyDescent="0.2">
      <c r="E17" s="122"/>
    </row>
    <row r="18" spans="5:5" x14ac:dyDescent="0.2">
      <c r="E18" s="122"/>
    </row>
    <row r="19" spans="5:5" x14ac:dyDescent="0.2">
      <c r="E19" s="122"/>
    </row>
    <row r="20" spans="5:5" x14ac:dyDescent="0.2">
      <c r="E20" s="122"/>
    </row>
    <row r="21" spans="5:5" x14ac:dyDescent="0.2">
      <c r="E21" s="122"/>
    </row>
    <row r="22" spans="5:5" x14ac:dyDescent="0.2">
      <c r="E22" s="122"/>
    </row>
    <row r="23" spans="5:5" x14ac:dyDescent="0.2">
      <c r="E23" s="122"/>
    </row>
    <row r="24" spans="5:5" x14ac:dyDescent="0.2">
      <c r="E24" s="122"/>
    </row>
    <row r="25" spans="5:5" x14ac:dyDescent="0.2">
      <c r="E25" s="122"/>
    </row>
    <row r="26" spans="5:5" x14ac:dyDescent="0.2">
      <c r="E26" s="122"/>
    </row>
    <row r="27" spans="5:5" x14ac:dyDescent="0.2">
      <c r="E27" s="122"/>
    </row>
  </sheetData>
  <dataValidations count="2">
    <dataValidation type="list" allowBlank="1" showInputMessage="1" showErrorMessage="1" sqref="M10" xr:uid="{77357846-1F86-48AB-AA7B-8565983D6854}">
      <formula1>"TRUE,FALSE"</formula1>
    </dataValidation>
    <dataValidation type="list" allowBlank="1" showInputMessage="1" showErrorMessage="1" sqref="M11" xr:uid="{8FB983AD-6D33-4A11-AF69-737BC8A94B74}">
      <formula1>$L$14:$L$15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F105"/>
  <sheetViews>
    <sheetView workbookViewId="0"/>
  </sheetViews>
  <sheetFormatPr defaultColWidth="9.140625" defaultRowHeight="15" x14ac:dyDescent="0.25"/>
  <cols>
    <col min="1" max="1" width="9.140625" style="64"/>
    <col min="2" max="2" width="9.140625" style="64" customWidth="1"/>
    <col min="3" max="3" width="20.7109375" style="64" customWidth="1"/>
    <col min="4" max="10" width="3.5703125" style="64" customWidth="1"/>
    <col min="11" max="11" width="4" style="64" customWidth="1"/>
    <col min="12" max="12" width="4.5703125" style="64" customWidth="1"/>
    <col min="13" max="13" width="29.85546875" style="64" customWidth="1"/>
    <col min="14" max="14" width="4" style="64" customWidth="1"/>
    <col min="15" max="16" width="3.5703125" style="64" customWidth="1"/>
    <col min="17" max="17" width="3.7109375" style="64" customWidth="1"/>
    <col min="18" max="18" width="3.85546875" style="64" customWidth="1"/>
    <col min="19" max="19" width="4" style="64" customWidth="1"/>
    <col min="20" max="20" width="25.5703125" style="64" customWidth="1"/>
    <col min="21" max="27" width="3.5703125" style="64" customWidth="1"/>
    <col min="28" max="29" width="9.140625" style="64"/>
    <col min="30" max="30" width="13.7109375" style="64" bestFit="1" customWidth="1"/>
    <col min="31" max="16384" width="9.140625" style="64"/>
  </cols>
  <sheetData>
    <row r="1" spans="3:32" x14ac:dyDescent="0.25">
      <c r="N1" s="64" t="s">
        <v>129</v>
      </c>
      <c r="U1" s="136" t="s">
        <v>162</v>
      </c>
    </row>
    <row r="2" spans="3:32" ht="84" customHeight="1" x14ac:dyDescent="0.25">
      <c r="C2" s="70"/>
      <c r="D2" s="145" t="s">
        <v>171</v>
      </c>
      <c r="E2" s="145" t="s">
        <v>172</v>
      </c>
      <c r="F2" s="270" t="s">
        <v>186</v>
      </c>
      <c r="G2" s="270" t="s">
        <v>173</v>
      </c>
      <c r="H2" s="137"/>
      <c r="I2" s="137"/>
      <c r="J2" s="89"/>
      <c r="K2" s="90"/>
      <c r="L2" s="91"/>
      <c r="M2" s="70"/>
      <c r="O2" s="265" t="s">
        <v>435</v>
      </c>
      <c r="P2" s="145" t="s">
        <v>174</v>
      </c>
      <c r="U2" s="137"/>
      <c r="V2" s="137"/>
      <c r="W2" s="265" t="s">
        <v>549</v>
      </c>
      <c r="X2" s="265"/>
      <c r="Y2" s="312"/>
      <c r="Z2" s="127"/>
      <c r="AA2" s="129"/>
    </row>
    <row r="3" spans="3:32" ht="141" customHeight="1" x14ac:dyDescent="0.25">
      <c r="C3" s="70" t="s">
        <v>128</v>
      </c>
      <c r="D3" s="148" t="s">
        <v>177</v>
      </c>
      <c r="E3" s="148" t="s">
        <v>183</v>
      </c>
      <c r="F3" s="285" t="s">
        <v>459</v>
      </c>
      <c r="G3" s="285" t="s">
        <v>182</v>
      </c>
      <c r="H3" s="137"/>
      <c r="I3" s="137"/>
      <c r="J3" s="89"/>
      <c r="K3" s="90"/>
      <c r="L3" s="91"/>
      <c r="M3" s="70" t="s">
        <v>127</v>
      </c>
      <c r="O3" s="265" t="s">
        <v>175</v>
      </c>
      <c r="P3" s="145" t="s">
        <v>176</v>
      </c>
      <c r="U3" s="137"/>
      <c r="V3" s="137"/>
      <c r="W3" s="312" t="s">
        <v>569</v>
      </c>
      <c r="X3" s="312"/>
      <c r="Y3" s="312"/>
      <c r="Z3" s="129"/>
      <c r="AA3" s="134"/>
    </row>
    <row r="4" spans="3:32" x14ac:dyDescent="0.25">
      <c r="D4" s="67"/>
      <c r="E4" s="67"/>
      <c r="F4" s="67"/>
      <c r="G4" s="67"/>
      <c r="H4" s="67"/>
      <c r="I4" s="67"/>
      <c r="J4" s="67"/>
      <c r="K4" s="71"/>
      <c r="L4" s="70"/>
      <c r="O4" s="67"/>
      <c r="P4" s="67"/>
      <c r="U4" s="67"/>
      <c r="V4" s="67"/>
      <c r="W4" s="67"/>
      <c r="X4" s="67"/>
      <c r="Y4" s="67"/>
      <c r="Z4" s="67"/>
      <c r="AA4" s="67"/>
      <c r="AD4" s="151"/>
    </row>
    <row r="5" spans="3:32" x14ac:dyDescent="0.25">
      <c r="D5" s="67"/>
      <c r="E5" s="72"/>
      <c r="F5" s="75"/>
      <c r="G5" s="72"/>
      <c r="H5" s="72"/>
      <c r="I5" s="72"/>
      <c r="J5" s="75"/>
      <c r="K5" s="79"/>
      <c r="L5" s="75"/>
      <c r="M5" s="80" t="s">
        <v>460</v>
      </c>
      <c r="N5" s="79"/>
      <c r="O5" s="75"/>
      <c r="P5" s="81"/>
      <c r="U5" s="67"/>
      <c r="V5" s="67"/>
      <c r="W5" s="67"/>
      <c r="X5" s="67"/>
      <c r="Y5" s="67"/>
      <c r="Z5" s="67"/>
      <c r="AA5" s="67"/>
      <c r="AD5" s="151"/>
      <c r="AE5" s="88"/>
    </row>
    <row r="6" spans="3:32" x14ac:dyDescent="0.25">
      <c r="C6" s="70"/>
      <c r="D6" s="67"/>
      <c r="E6" s="67"/>
      <c r="F6" s="76"/>
      <c r="G6" s="76"/>
      <c r="H6" s="82"/>
      <c r="I6" s="76"/>
      <c r="J6" s="82"/>
      <c r="K6" s="130"/>
      <c r="L6" s="82"/>
      <c r="M6" s="87"/>
      <c r="N6" s="78"/>
      <c r="O6" s="77"/>
      <c r="P6" s="72"/>
      <c r="Q6" s="147"/>
      <c r="R6" s="147"/>
      <c r="S6" s="329"/>
      <c r="T6" s="327"/>
      <c r="U6" s="72"/>
      <c r="V6" s="75"/>
      <c r="W6" s="75"/>
      <c r="X6" s="67"/>
      <c r="Y6" s="67"/>
      <c r="Z6" s="67"/>
      <c r="AA6" s="67"/>
      <c r="AD6" s="136"/>
      <c r="AE6" s="84"/>
      <c r="AF6" s="322"/>
    </row>
    <row r="7" spans="3:32" x14ac:dyDescent="0.25">
      <c r="C7" s="70"/>
      <c r="D7" s="67"/>
      <c r="E7" s="67"/>
      <c r="F7" s="67"/>
      <c r="G7" s="76"/>
      <c r="H7" s="82"/>
      <c r="I7" s="76"/>
      <c r="J7" s="82"/>
      <c r="K7" s="130"/>
      <c r="L7" s="82"/>
      <c r="M7" s="141" t="s">
        <v>168</v>
      </c>
      <c r="N7" s="146"/>
      <c r="O7" s="147"/>
      <c r="P7" s="72"/>
      <c r="T7" s="325" t="s">
        <v>563</v>
      </c>
      <c r="U7" s="67"/>
      <c r="V7" s="67"/>
      <c r="W7" s="67"/>
      <c r="X7" s="67"/>
      <c r="Y7" s="67"/>
      <c r="Z7" s="67"/>
      <c r="AA7" s="67"/>
      <c r="AD7" s="136"/>
      <c r="AE7" s="86"/>
    </row>
    <row r="8" spans="3:32" x14ac:dyDescent="0.25">
      <c r="C8" s="70"/>
      <c r="D8" s="67"/>
      <c r="E8" s="67"/>
      <c r="F8" s="67"/>
      <c r="G8" s="67"/>
      <c r="H8" s="76"/>
      <c r="I8" s="82"/>
      <c r="J8" s="76"/>
      <c r="K8" s="130"/>
      <c r="L8" s="82"/>
      <c r="M8" s="74"/>
      <c r="N8" s="70"/>
      <c r="O8" s="68"/>
      <c r="P8" s="69"/>
      <c r="T8" s="74"/>
      <c r="U8" s="67"/>
      <c r="V8" s="67"/>
      <c r="W8" s="67"/>
      <c r="X8" s="69"/>
      <c r="Y8" s="67"/>
      <c r="Z8" s="67"/>
      <c r="AA8" s="67"/>
      <c r="AD8" s="321"/>
      <c r="AE8" s="83"/>
    </row>
    <row r="9" spans="3:32" x14ac:dyDescent="0.25">
      <c r="C9" s="70"/>
      <c r="D9" s="67"/>
      <c r="E9" s="67"/>
      <c r="F9" s="67"/>
      <c r="G9" s="67"/>
      <c r="H9" s="67"/>
      <c r="I9" s="67"/>
      <c r="J9" s="67"/>
      <c r="K9" s="71"/>
      <c r="L9" s="68"/>
      <c r="M9" s="144" t="s">
        <v>169</v>
      </c>
      <c r="N9" s="68"/>
      <c r="O9" s="67"/>
      <c r="P9" s="69"/>
      <c r="T9" s="328" t="s">
        <v>568</v>
      </c>
      <c r="U9" s="67"/>
      <c r="V9" s="67"/>
      <c r="W9" s="67"/>
      <c r="X9" s="67"/>
      <c r="Y9" s="67"/>
      <c r="Z9" s="67"/>
      <c r="AA9" s="67"/>
      <c r="AB9" s="73"/>
      <c r="AC9" s="311"/>
      <c r="AD9" s="323"/>
      <c r="AE9" s="85"/>
    </row>
    <row r="10" spans="3:32" x14ac:dyDescent="0.25">
      <c r="C10" s="70"/>
      <c r="D10" s="67"/>
      <c r="E10" s="67"/>
      <c r="F10" s="67"/>
      <c r="G10" s="67"/>
      <c r="H10" s="67"/>
      <c r="I10" s="67"/>
      <c r="J10" s="67"/>
      <c r="K10" s="71"/>
      <c r="L10" s="68"/>
      <c r="M10" s="66"/>
      <c r="N10" s="68"/>
      <c r="O10" s="67"/>
      <c r="P10" s="69"/>
      <c r="U10" s="67"/>
      <c r="V10" s="67"/>
      <c r="W10" s="67"/>
      <c r="X10" s="67"/>
      <c r="Y10" s="67"/>
      <c r="Z10" s="67"/>
      <c r="AA10" s="67"/>
    </row>
    <row r="11" spans="3:32" x14ac:dyDescent="0.25">
      <c r="C11" s="70"/>
      <c r="D11" s="67"/>
      <c r="E11" s="67"/>
      <c r="F11" s="67"/>
      <c r="G11" s="67"/>
      <c r="H11" s="67"/>
      <c r="I11" s="67"/>
      <c r="J11" s="67"/>
      <c r="K11" s="71"/>
      <c r="L11" s="68"/>
      <c r="N11" s="70"/>
      <c r="O11" s="67"/>
      <c r="P11" s="69"/>
      <c r="U11" s="67"/>
      <c r="V11" s="67"/>
      <c r="W11" s="67"/>
      <c r="X11" s="67"/>
      <c r="Y11" s="67"/>
      <c r="Z11" s="67"/>
      <c r="AA11" s="67"/>
      <c r="AE11" s="66"/>
    </row>
    <row r="12" spans="3:32" x14ac:dyDescent="0.25">
      <c r="C12" s="70"/>
      <c r="D12" s="67"/>
      <c r="E12" s="72"/>
      <c r="F12" s="75"/>
      <c r="G12" s="72"/>
      <c r="H12" s="72"/>
      <c r="I12" s="72"/>
      <c r="J12" s="75"/>
      <c r="K12" s="79"/>
      <c r="L12" s="75"/>
      <c r="M12" s="80" t="s">
        <v>527</v>
      </c>
      <c r="N12" s="79"/>
      <c r="O12" s="75"/>
      <c r="P12" s="69"/>
      <c r="U12" s="67"/>
      <c r="V12" s="67"/>
      <c r="W12" s="67"/>
      <c r="X12" s="67"/>
      <c r="Y12" s="67"/>
      <c r="Z12" s="67"/>
      <c r="AA12" s="67"/>
    </row>
    <row r="13" spans="3:32" x14ac:dyDescent="0.25">
      <c r="C13" s="70"/>
      <c r="D13" s="67"/>
      <c r="E13" s="67"/>
      <c r="F13" s="76"/>
      <c r="G13" s="76"/>
      <c r="H13" s="82"/>
      <c r="I13" s="76"/>
      <c r="J13" s="82"/>
      <c r="K13" s="130"/>
      <c r="L13" s="82"/>
      <c r="M13" s="87"/>
      <c r="N13" s="78"/>
      <c r="O13" s="77"/>
      <c r="P13" s="72"/>
      <c r="Q13" s="147"/>
      <c r="R13" s="147"/>
      <c r="S13" s="329"/>
      <c r="T13" s="324" t="s">
        <v>565</v>
      </c>
      <c r="U13" s="67"/>
      <c r="V13" s="67"/>
      <c r="W13" s="67"/>
      <c r="X13" s="67"/>
      <c r="Y13" s="67"/>
      <c r="Z13" s="67"/>
      <c r="AA13" s="67"/>
      <c r="AD13" s="65"/>
    </row>
    <row r="14" spans="3:32" x14ac:dyDescent="0.25">
      <c r="C14" s="70"/>
      <c r="D14" s="67"/>
      <c r="E14" s="67"/>
      <c r="F14" s="67"/>
      <c r="G14" s="76"/>
      <c r="H14" s="82"/>
      <c r="I14" s="76"/>
      <c r="J14" s="82"/>
      <c r="K14" s="130"/>
      <c r="L14" s="82"/>
      <c r="M14" s="74"/>
      <c r="N14" s="146"/>
      <c r="O14" s="147"/>
      <c r="P14" s="72"/>
      <c r="T14" s="74"/>
      <c r="U14" s="67"/>
      <c r="V14" s="67"/>
      <c r="W14" s="67"/>
      <c r="X14" s="67"/>
      <c r="Y14" s="67"/>
      <c r="Z14" s="67"/>
      <c r="AA14" s="67"/>
    </row>
    <row r="15" spans="3:32" x14ac:dyDescent="0.25">
      <c r="C15" s="70"/>
      <c r="D15" s="67"/>
      <c r="E15" s="67"/>
      <c r="F15" s="67"/>
      <c r="G15" s="67"/>
      <c r="H15" s="67"/>
      <c r="I15" s="67"/>
      <c r="J15" s="67"/>
      <c r="K15" s="71"/>
      <c r="L15" s="68"/>
      <c r="M15" s="144" t="s">
        <v>170</v>
      </c>
      <c r="N15" s="70"/>
      <c r="O15" s="68"/>
      <c r="P15" s="69"/>
      <c r="T15" s="325" t="s">
        <v>564</v>
      </c>
      <c r="U15" s="67"/>
      <c r="V15" s="67"/>
      <c r="W15" s="67"/>
      <c r="X15" s="67"/>
      <c r="Y15" s="67"/>
      <c r="Z15" s="67"/>
      <c r="AA15" s="67"/>
      <c r="AC15" s="311"/>
    </row>
    <row r="16" spans="3:32" x14ac:dyDescent="0.25">
      <c r="C16" s="70"/>
      <c r="D16" s="67"/>
      <c r="E16" s="67"/>
      <c r="F16" s="67"/>
      <c r="G16" s="67"/>
      <c r="H16" s="67"/>
      <c r="I16" s="67"/>
      <c r="J16" s="67"/>
      <c r="K16" s="71"/>
      <c r="L16" s="68"/>
      <c r="N16" s="70"/>
      <c r="O16" s="67"/>
      <c r="P16" s="69"/>
      <c r="T16" s="326"/>
      <c r="U16" s="67"/>
      <c r="V16" s="67"/>
      <c r="W16" s="67"/>
      <c r="X16" s="67"/>
      <c r="Y16" s="67"/>
      <c r="Z16" s="67"/>
      <c r="AA16" s="67"/>
    </row>
    <row r="17" spans="3:30" x14ac:dyDescent="0.25">
      <c r="C17" s="70"/>
      <c r="D17" s="67"/>
      <c r="E17" s="67"/>
      <c r="F17" s="67"/>
      <c r="G17" s="67"/>
      <c r="H17" s="67"/>
      <c r="I17" s="67"/>
      <c r="J17" s="67"/>
      <c r="K17" s="71"/>
      <c r="L17" s="68"/>
      <c r="N17" s="70"/>
      <c r="O17" s="67"/>
      <c r="P17" s="69"/>
      <c r="U17" s="67"/>
      <c r="V17" s="67"/>
      <c r="W17" s="67"/>
      <c r="X17" s="67"/>
      <c r="Y17" s="67"/>
      <c r="Z17" s="67"/>
      <c r="AA17" s="67"/>
      <c r="AD17" s="65"/>
    </row>
    <row r="18" spans="3:30" x14ac:dyDescent="0.25">
      <c r="C18" s="70"/>
      <c r="D18" s="67"/>
      <c r="E18" s="67"/>
      <c r="F18" s="67"/>
      <c r="G18" s="67"/>
      <c r="H18" s="67"/>
      <c r="I18" s="67"/>
      <c r="J18" s="67"/>
      <c r="K18" s="71"/>
      <c r="L18" s="68"/>
      <c r="N18" s="70"/>
      <c r="O18" s="67"/>
      <c r="P18" s="69"/>
      <c r="Q18" s="146"/>
      <c r="R18" s="147"/>
      <c r="S18" s="329"/>
      <c r="T18" s="324" t="s">
        <v>566</v>
      </c>
      <c r="U18" s="67"/>
      <c r="V18" s="67"/>
      <c r="W18" s="67"/>
      <c r="X18" s="67"/>
      <c r="Y18" s="67"/>
      <c r="Z18" s="67"/>
      <c r="AA18" s="67"/>
      <c r="AD18" s="84"/>
    </row>
    <row r="19" spans="3:30" x14ac:dyDescent="0.25">
      <c r="C19" s="70"/>
      <c r="D19" s="67"/>
      <c r="E19" s="67"/>
      <c r="F19" s="67"/>
      <c r="G19" s="67"/>
      <c r="H19" s="67"/>
      <c r="I19" s="67"/>
      <c r="J19" s="67"/>
      <c r="K19" s="71"/>
      <c r="L19" s="68"/>
      <c r="N19" s="70"/>
      <c r="O19" s="67"/>
      <c r="P19" s="69"/>
      <c r="T19" s="74"/>
      <c r="U19" s="67"/>
      <c r="V19" s="67"/>
      <c r="W19" s="67"/>
      <c r="X19" s="67"/>
      <c r="Y19" s="67"/>
      <c r="Z19" s="67"/>
      <c r="AA19" s="67"/>
      <c r="AD19" s="84"/>
    </row>
    <row r="20" spans="3:30" x14ac:dyDescent="0.25">
      <c r="C20" s="70"/>
      <c r="D20" s="67"/>
      <c r="E20" s="67"/>
      <c r="F20" s="67"/>
      <c r="G20" s="67"/>
      <c r="H20" s="67"/>
      <c r="I20" s="67"/>
      <c r="J20" s="67"/>
      <c r="K20" s="71"/>
      <c r="L20" s="68"/>
      <c r="N20" s="70"/>
      <c r="O20" s="67"/>
      <c r="P20" s="69"/>
      <c r="T20" s="325" t="s">
        <v>567</v>
      </c>
      <c r="U20" s="67"/>
      <c r="V20" s="67"/>
      <c r="W20" s="67"/>
      <c r="X20" s="67"/>
      <c r="Y20" s="67"/>
      <c r="Z20" s="67"/>
      <c r="AA20" s="67"/>
      <c r="AD20" s="84"/>
    </row>
    <row r="21" spans="3:30" x14ac:dyDescent="0.25">
      <c r="C21" s="70"/>
      <c r="D21" s="67"/>
      <c r="E21" s="67"/>
      <c r="F21" s="67"/>
      <c r="G21" s="67"/>
      <c r="H21" s="67"/>
      <c r="I21" s="67"/>
      <c r="J21" s="67"/>
      <c r="K21" s="71"/>
      <c r="L21" s="68"/>
      <c r="N21" s="70"/>
      <c r="O21" s="67"/>
      <c r="P21" s="69"/>
      <c r="T21" s="326"/>
      <c r="U21" s="67"/>
      <c r="V21" s="67"/>
      <c r="W21" s="67"/>
      <c r="X21" s="67"/>
      <c r="Y21" s="67"/>
      <c r="Z21" s="67"/>
      <c r="AA21" s="67"/>
      <c r="AD21" s="83"/>
    </row>
    <row r="22" spans="3:30" x14ac:dyDescent="0.25">
      <c r="C22" s="70"/>
      <c r="D22" s="67"/>
      <c r="E22" s="67"/>
      <c r="F22" s="67"/>
      <c r="G22" s="67"/>
      <c r="H22" s="67"/>
      <c r="I22" s="67"/>
      <c r="J22" s="67"/>
      <c r="K22" s="71"/>
      <c r="L22" s="68"/>
      <c r="N22" s="70"/>
      <c r="O22" s="67"/>
      <c r="P22" s="69"/>
      <c r="U22" s="67"/>
      <c r="V22" s="67"/>
      <c r="W22" s="67"/>
      <c r="X22" s="67"/>
      <c r="Y22" s="67"/>
      <c r="Z22" s="67"/>
      <c r="AA22" s="67"/>
    </row>
    <row r="23" spans="3:30" x14ac:dyDescent="0.25">
      <c r="C23" s="70"/>
      <c r="D23" s="67"/>
      <c r="E23" s="67"/>
      <c r="F23" s="67"/>
      <c r="G23" s="67"/>
      <c r="H23" s="67"/>
      <c r="I23" s="67"/>
      <c r="J23" s="67"/>
      <c r="K23" s="71"/>
      <c r="L23" s="68"/>
      <c r="N23" s="70"/>
      <c r="O23" s="67"/>
      <c r="P23" s="69"/>
      <c r="U23" s="67"/>
      <c r="V23" s="67"/>
      <c r="W23" s="67"/>
      <c r="X23" s="67"/>
      <c r="Y23" s="67"/>
      <c r="Z23" s="67"/>
      <c r="AA23" s="67"/>
    </row>
    <row r="24" spans="3:30" x14ac:dyDescent="0.25">
      <c r="C24" s="70"/>
      <c r="D24" s="67"/>
      <c r="E24" s="67"/>
      <c r="F24" s="67"/>
      <c r="G24" s="67"/>
      <c r="H24" s="67"/>
      <c r="I24" s="67"/>
      <c r="J24" s="67"/>
      <c r="K24" s="71"/>
      <c r="L24" s="68"/>
      <c r="N24" s="70"/>
      <c r="O24" s="67"/>
      <c r="P24" s="69"/>
      <c r="U24" s="67"/>
      <c r="V24" s="67"/>
      <c r="W24" s="67"/>
      <c r="X24" s="67"/>
      <c r="Y24" s="67"/>
      <c r="Z24" s="67"/>
      <c r="AA24" s="67"/>
      <c r="AD24" s="83"/>
    </row>
    <row r="25" spans="3:30" x14ac:dyDescent="0.25">
      <c r="C25" s="70"/>
      <c r="D25" s="67"/>
      <c r="E25" s="67"/>
      <c r="F25" s="67"/>
      <c r="G25" s="67"/>
      <c r="H25" s="67"/>
      <c r="I25" s="67"/>
      <c r="J25" s="67"/>
      <c r="K25" s="71"/>
      <c r="L25" s="68"/>
      <c r="N25" s="70"/>
      <c r="O25" s="67"/>
      <c r="P25" s="69"/>
      <c r="U25" s="67"/>
      <c r="V25" s="67"/>
      <c r="W25" s="67"/>
      <c r="X25" s="67"/>
      <c r="Y25" s="67"/>
      <c r="Z25" s="67"/>
      <c r="AA25" s="67"/>
    </row>
    <row r="26" spans="3:30" x14ac:dyDescent="0.25">
      <c r="C26" s="70"/>
      <c r="D26" s="67"/>
      <c r="E26" s="67"/>
      <c r="F26" s="67"/>
      <c r="G26" s="67"/>
      <c r="H26" s="67"/>
      <c r="I26" s="67"/>
      <c r="J26" s="67"/>
      <c r="K26" s="71"/>
      <c r="L26" s="68"/>
      <c r="N26" s="70"/>
      <c r="O26" s="67"/>
      <c r="P26" s="69"/>
      <c r="U26" s="67"/>
      <c r="V26" s="67"/>
      <c r="W26" s="67"/>
      <c r="X26" s="67"/>
      <c r="Y26" s="67"/>
      <c r="Z26" s="67"/>
      <c r="AA26" s="67"/>
    </row>
    <row r="27" spans="3:30" x14ac:dyDescent="0.25">
      <c r="C27" s="70"/>
      <c r="D27" s="67"/>
      <c r="E27" s="67"/>
      <c r="F27" s="67"/>
      <c r="G27" s="67"/>
      <c r="H27" s="67"/>
      <c r="I27" s="67"/>
      <c r="J27" s="67"/>
      <c r="K27" s="71"/>
      <c r="L27" s="68"/>
      <c r="N27" s="70"/>
      <c r="O27" s="67"/>
      <c r="P27" s="69"/>
      <c r="U27" s="67"/>
      <c r="V27" s="67"/>
      <c r="W27" s="67"/>
      <c r="X27" s="67"/>
      <c r="Y27" s="67"/>
      <c r="Z27" s="67"/>
      <c r="AA27" s="67"/>
    </row>
    <row r="28" spans="3:30" x14ac:dyDescent="0.25">
      <c r="C28" s="70"/>
      <c r="D28" s="67"/>
      <c r="E28" s="67"/>
      <c r="F28" s="67"/>
      <c r="G28" s="67"/>
      <c r="H28" s="67"/>
      <c r="I28" s="67"/>
      <c r="J28" s="67"/>
      <c r="K28" s="71"/>
      <c r="L28" s="68"/>
      <c r="N28" s="70"/>
      <c r="O28" s="67"/>
      <c r="P28" s="69"/>
      <c r="U28" s="67"/>
      <c r="V28" s="67"/>
      <c r="W28" s="67"/>
      <c r="X28" s="67"/>
      <c r="Y28" s="67"/>
      <c r="Z28" s="67"/>
      <c r="AA28" s="67"/>
    </row>
    <row r="29" spans="3:30" x14ac:dyDescent="0.25">
      <c r="C29" s="70"/>
      <c r="D29" s="67"/>
      <c r="E29" s="67"/>
      <c r="F29" s="67"/>
      <c r="G29" s="67"/>
      <c r="H29" s="67"/>
      <c r="I29" s="67"/>
      <c r="J29" s="67"/>
      <c r="K29" s="71"/>
      <c r="L29" s="68"/>
      <c r="N29" s="70"/>
      <c r="O29" s="67"/>
      <c r="P29" s="69"/>
      <c r="U29" s="67"/>
      <c r="V29" s="67"/>
      <c r="W29" s="67"/>
      <c r="X29" s="67"/>
      <c r="Y29" s="67"/>
      <c r="Z29" s="67"/>
      <c r="AA29" s="67"/>
    </row>
    <row r="30" spans="3:30" x14ac:dyDescent="0.25">
      <c r="C30" s="70"/>
      <c r="D30" s="67"/>
      <c r="E30" s="67"/>
      <c r="F30" s="67"/>
      <c r="G30" s="67"/>
      <c r="H30" s="67"/>
      <c r="I30" s="67"/>
      <c r="J30" s="67"/>
      <c r="K30" s="71"/>
      <c r="L30" s="68"/>
      <c r="N30" s="70"/>
      <c r="O30" s="67"/>
      <c r="P30" s="69"/>
      <c r="U30" s="67"/>
      <c r="V30" s="67"/>
      <c r="W30" s="67"/>
      <c r="X30" s="67"/>
      <c r="Y30" s="67"/>
      <c r="Z30" s="67"/>
      <c r="AA30" s="67"/>
    </row>
    <row r="31" spans="3:30" x14ac:dyDescent="0.25">
      <c r="C31" s="70"/>
      <c r="D31" s="67"/>
      <c r="E31" s="67"/>
      <c r="F31" s="67"/>
      <c r="G31" s="67"/>
      <c r="H31" s="67"/>
      <c r="I31" s="67"/>
      <c r="J31" s="67"/>
      <c r="K31" s="71"/>
      <c r="L31" s="68"/>
      <c r="N31" s="70"/>
      <c r="O31" s="67"/>
      <c r="P31" s="69"/>
      <c r="U31" s="67"/>
      <c r="V31" s="67"/>
      <c r="W31" s="67"/>
      <c r="X31" s="67"/>
      <c r="Y31" s="67"/>
      <c r="Z31" s="67"/>
      <c r="AA31" s="67"/>
    </row>
    <row r="32" spans="3:30" x14ac:dyDescent="0.25">
      <c r="C32" s="70"/>
      <c r="D32" s="67"/>
      <c r="E32" s="67"/>
      <c r="F32" s="67"/>
      <c r="G32" s="67"/>
      <c r="H32" s="67"/>
      <c r="I32" s="67"/>
      <c r="J32" s="67"/>
      <c r="K32" s="71"/>
      <c r="L32" s="68"/>
      <c r="N32" s="70"/>
      <c r="O32" s="67"/>
      <c r="P32" s="69"/>
      <c r="U32" s="67"/>
      <c r="V32" s="67"/>
      <c r="W32" s="67"/>
      <c r="X32" s="67"/>
      <c r="Y32" s="67"/>
      <c r="Z32" s="67"/>
      <c r="AA32" s="67"/>
    </row>
    <row r="33" spans="3:27" x14ac:dyDescent="0.25">
      <c r="C33" s="70"/>
      <c r="D33" s="67"/>
      <c r="E33" s="67"/>
      <c r="F33" s="67"/>
      <c r="G33" s="67"/>
      <c r="H33" s="67"/>
      <c r="I33" s="67"/>
      <c r="J33" s="67"/>
      <c r="K33" s="71"/>
      <c r="L33" s="68"/>
      <c r="N33" s="70"/>
      <c r="O33" s="67"/>
      <c r="P33" s="69"/>
      <c r="U33" s="67"/>
      <c r="V33" s="67"/>
      <c r="W33" s="67"/>
      <c r="X33" s="67"/>
      <c r="Y33" s="67"/>
      <c r="Z33" s="67"/>
      <c r="AA33" s="67"/>
    </row>
    <row r="34" spans="3:27" x14ac:dyDescent="0.25">
      <c r="C34" s="70"/>
      <c r="D34" s="67"/>
      <c r="E34" s="67"/>
      <c r="F34" s="67"/>
      <c r="G34" s="67"/>
      <c r="H34" s="67"/>
      <c r="I34" s="67"/>
      <c r="J34" s="67"/>
      <c r="K34" s="71"/>
      <c r="L34" s="68"/>
      <c r="N34" s="70"/>
      <c r="O34" s="67"/>
      <c r="P34" s="69"/>
      <c r="U34" s="67"/>
      <c r="V34" s="67"/>
      <c r="W34" s="67"/>
      <c r="X34" s="67"/>
      <c r="Y34" s="67"/>
      <c r="Z34" s="67"/>
      <c r="AA34" s="67"/>
    </row>
    <row r="35" spans="3:27" x14ac:dyDescent="0.25">
      <c r="C35" s="70"/>
      <c r="D35" s="67"/>
      <c r="E35" s="67"/>
      <c r="F35" s="67"/>
      <c r="G35" s="67"/>
      <c r="H35" s="67"/>
      <c r="I35" s="67"/>
      <c r="J35" s="67"/>
      <c r="K35" s="71"/>
      <c r="L35" s="68"/>
      <c r="N35" s="70"/>
      <c r="O35" s="67"/>
      <c r="P35" s="69"/>
      <c r="U35" s="67"/>
      <c r="V35" s="67"/>
      <c r="W35" s="67"/>
      <c r="X35" s="67"/>
      <c r="Y35" s="67"/>
      <c r="Z35" s="67"/>
      <c r="AA35" s="67"/>
    </row>
    <row r="36" spans="3:27" x14ac:dyDescent="0.25">
      <c r="C36" s="70"/>
      <c r="D36" s="67"/>
      <c r="E36" s="67"/>
      <c r="F36" s="67"/>
      <c r="G36" s="67"/>
      <c r="H36" s="67"/>
      <c r="I36" s="67"/>
      <c r="J36" s="67"/>
      <c r="K36" s="71"/>
      <c r="L36" s="68"/>
      <c r="N36" s="70"/>
      <c r="O36" s="67"/>
      <c r="P36" s="69"/>
      <c r="U36" s="67"/>
      <c r="V36" s="67"/>
      <c r="W36" s="67"/>
      <c r="X36" s="67"/>
      <c r="Y36" s="67"/>
      <c r="Z36" s="67"/>
      <c r="AA36" s="67"/>
    </row>
    <row r="37" spans="3:27" x14ac:dyDescent="0.25">
      <c r="C37" s="70"/>
      <c r="D37" s="67"/>
      <c r="E37" s="67"/>
      <c r="F37" s="67"/>
      <c r="G37" s="67"/>
      <c r="H37" s="67"/>
      <c r="I37" s="67"/>
      <c r="J37" s="67"/>
      <c r="K37" s="71"/>
      <c r="L37" s="68"/>
      <c r="N37" s="70"/>
      <c r="O37" s="67"/>
      <c r="P37" s="69"/>
      <c r="U37" s="67"/>
      <c r="V37" s="67"/>
      <c r="W37" s="67"/>
      <c r="X37" s="67"/>
      <c r="Y37" s="67"/>
      <c r="Z37" s="67"/>
      <c r="AA37" s="67"/>
    </row>
    <row r="38" spans="3:27" x14ac:dyDescent="0.25">
      <c r="D38" s="67"/>
      <c r="E38" s="67"/>
      <c r="F38" s="67"/>
      <c r="G38" s="67"/>
      <c r="H38" s="67"/>
      <c r="I38" s="67"/>
      <c r="J38" s="67"/>
      <c r="K38" s="71"/>
      <c r="L38" s="68"/>
      <c r="N38" s="70"/>
      <c r="O38" s="67"/>
      <c r="P38" s="69"/>
      <c r="U38" s="67"/>
      <c r="V38" s="67"/>
      <c r="W38" s="67"/>
      <c r="X38" s="67"/>
      <c r="Y38" s="67"/>
      <c r="Z38" s="67"/>
      <c r="AA38" s="67"/>
    </row>
    <row r="39" spans="3:27" x14ac:dyDescent="0.25">
      <c r="D39" s="67"/>
      <c r="E39" s="67"/>
      <c r="F39" s="67"/>
      <c r="G39" s="67"/>
      <c r="H39" s="67"/>
      <c r="I39" s="67"/>
      <c r="J39" s="67"/>
      <c r="K39" s="71"/>
      <c r="L39" s="68"/>
      <c r="N39" s="70"/>
      <c r="O39" s="67"/>
      <c r="P39" s="69"/>
      <c r="U39" s="67"/>
      <c r="V39" s="67"/>
      <c r="W39" s="67"/>
      <c r="X39" s="67"/>
      <c r="Y39" s="67"/>
      <c r="Z39" s="67"/>
      <c r="AA39" s="67"/>
    </row>
    <row r="40" spans="3:27" x14ac:dyDescent="0.25">
      <c r="D40" s="67"/>
      <c r="E40" s="67"/>
      <c r="F40" s="67"/>
      <c r="G40" s="67"/>
      <c r="H40" s="67"/>
      <c r="I40" s="67"/>
      <c r="J40" s="67"/>
      <c r="K40" s="71"/>
      <c r="L40" s="68"/>
      <c r="N40" s="70"/>
      <c r="O40" s="67"/>
      <c r="P40" s="69"/>
      <c r="U40" s="67"/>
      <c r="V40" s="67"/>
      <c r="W40" s="67"/>
      <c r="X40" s="67"/>
      <c r="Y40" s="67"/>
      <c r="Z40" s="67"/>
      <c r="AA40" s="67"/>
    </row>
    <row r="41" spans="3:27" x14ac:dyDescent="0.25">
      <c r="D41" s="67"/>
      <c r="E41" s="67"/>
      <c r="F41" s="67"/>
      <c r="G41" s="67"/>
      <c r="H41" s="67"/>
      <c r="I41" s="67"/>
      <c r="J41" s="67"/>
      <c r="K41" s="71"/>
      <c r="L41" s="68"/>
      <c r="N41" s="70"/>
      <c r="O41" s="67"/>
      <c r="P41" s="69"/>
      <c r="U41" s="67"/>
      <c r="V41" s="67"/>
      <c r="W41" s="67"/>
      <c r="X41" s="67"/>
      <c r="Y41" s="67"/>
      <c r="Z41" s="67"/>
      <c r="AA41" s="67"/>
    </row>
    <row r="42" spans="3:27" x14ac:dyDescent="0.25">
      <c r="D42" s="67"/>
      <c r="E42" s="67"/>
      <c r="F42" s="67"/>
      <c r="G42" s="67"/>
      <c r="H42" s="67"/>
      <c r="I42" s="67"/>
      <c r="J42" s="67"/>
      <c r="K42" s="71"/>
      <c r="L42" s="68"/>
      <c r="N42" s="70"/>
      <c r="O42" s="67"/>
      <c r="P42" s="69"/>
      <c r="U42" s="67"/>
      <c r="V42" s="67"/>
      <c r="W42" s="67"/>
      <c r="X42" s="67"/>
      <c r="Y42" s="67"/>
      <c r="Z42" s="67"/>
      <c r="AA42" s="67"/>
    </row>
    <row r="43" spans="3:27" x14ac:dyDescent="0.25">
      <c r="D43" s="67"/>
      <c r="E43" s="67"/>
      <c r="F43" s="67"/>
      <c r="G43" s="67"/>
      <c r="H43" s="67"/>
      <c r="I43" s="67"/>
      <c r="J43" s="67"/>
      <c r="K43" s="71"/>
      <c r="L43" s="68"/>
      <c r="N43" s="70"/>
      <c r="O43" s="67"/>
      <c r="P43" s="69"/>
      <c r="U43" s="67"/>
      <c r="V43" s="67"/>
      <c r="W43" s="67"/>
      <c r="X43" s="67"/>
      <c r="Y43" s="67"/>
      <c r="Z43" s="67"/>
      <c r="AA43" s="67"/>
    </row>
    <row r="44" spans="3:27" x14ac:dyDescent="0.25">
      <c r="D44" s="67"/>
      <c r="E44" s="67"/>
      <c r="F44" s="67"/>
      <c r="G44" s="67"/>
      <c r="H44" s="67"/>
      <c r="I44" s="67"/>
      <c r="J44" s="67"/>
      <c r="K44" s="71"/>
      <c r="L44" s="68"/>
      <c r="N44" s="70"/>
      <c r="O44" s="67"/>
      <c r="P44" s="69"/>
      <c r="U44" s="67"/>
      <c r="V44" s="67"/>
      <c r="W44" s="67"/>
      <c r="X44" s="67"/>
      <c r="Y44" s="67"/>
      <c r="Z44" s="67"/>
      <c r="AA44" s="67"/>
    </row>
    <row r="45" spans="3:27" x14ac:dyDescent="0.25">
      <c r="D45" s="67"/>
      <c r="E45" s="67"/>
      <c r="F45" s="67"/>
      <c r="G45" s="67"/>
      <c r="H45" s="67"/>
      <c r="I45" s="67"/>
      <c r="J45" s="67"/>
      <c r="K45" s="71"/>
      <c r="L45" s="68"/>
      <c r="N45" s="70"/>
      <c r="O45" s="67"/>
      <c r="P45" s="69"/>
      <c r="U45" s="67"/>
      <c r="V45" s="67"/>
      <c r="W45" s="67"/>
      <c r="X45" s="67"/>
      <c r="Y45" s="67"/>
      <c r="Z45" s="67"/>
      <c r="AA45" s="67"/>
    </row>
    <row r="46" spans="3:27" x14ac:dyDescent="0.25">
      <c r="D46" s="67"/>
      <c r="E46" s="67"/>
      <c r="F46" s="67"/>
      <c r="G46" s="67"/>
      <c r="H46" s="67"/>
      <c r="I46" s="67"/>
      <c r="J46" s="67"/>
      <c r="K46" s="71"/>
      <c r="L46" s="68"/>
      <c r="N46" s="70"/>
      <c r="O46" s="67"/>
      <c r="P46" s="69"/>
      <c r="U46" s="67"/>
      <c r="V46" s="67"/>
      <c r="W46" s="67"/>
      <c r="X46" s="67"/>
      <c r="Y46" s="67"/>
      <c r="Z46" s="67"/>
      <c r="AA46" s="67"/>
    </row>
    <row r="47" spans="3:27" x14ac:dyDescent="0.25">
      <c r="D47" s="67"/>
      <c r="E47" s="67"/>
      <c r="F47" s="67"/>
      <c r="G47" s="67"/>
      <c r="H47" s="67"/>
      <c r="I47" s="67"/>
      <c r="J47" s="67"/>
      <c r="K47" s="71"/>
      <c r="L47" s="68"/>
      <c r="N47" s="70"/>
      <c r="O47" s="67"/>
      <c r="P47" s="69"/>
      <c r="U47" s="67"/>
      <c r="V47" s="67"/>
      <c r="W47" s="67"/>
      <c r="X47" s="67"/>
      <c r="Y47" s="67"/>
      <c r="Z47" s="67"/>
      <c r="AA47" s="67"/>
    </row>
    <row r="48" spans="3:27" x14ac:dyDescent="0.25">
      <c r="D48" s="67"/>
      <c r="E48" s="67"/>
      <c r="F48" s="67"/>
      <c r="G48" s="67"/>
      <c r="H48" s="67"/>
      <c r="I48" s="67"/>
      <c r="J48" s="67"/>
      <c r="K48" s="71"/>
      <c r="L48" s="68"/>
      <c r="N48" s="70"/>
      <c r="O48" s="67"/>
      <c r="P48" s="69"/>
      <c r="U48" s="67"/>
      <c r="V48" s="67"/>
      <c r="W48" s="67"/>
      <c r="X48" s="67"/>
      <c r="Y48" s="67"/>
      <c r="Z48" s="67"/>
      <c r="AA48" s="67"/>
    </row>
    <row r="49" spans="4:27" x14ac:dyDescent="0.25">
      <c r="D49" s="67"/>
      <c r="E49" s="67"/>
      <c r="F49" s="67"/>
      <c r="G49" s="67"/>
      <c r="H49" s="67"/>
      <c r="I49" s="67"/>
      <c r="J49" s="67"/>
      <c r="K49" s="71"/>
      <c r="L49" s="68"/>
      <c r="N49" s="70"/>
      <c r="O49" s="67"/>
      <c r="P49" s="69"/>
      <c r="U49" s="67"/>
      <c r="V49" s="67"/>
      <c r="W49" s="67"/>
      <c r="X49" s="67"/>
      <c r="Y49" s="67"/>
      <c r="Z49" s="67"/>
      <c r="AA49" s="67"/>
    </row>
    <row r="50" spans="4:27" x14ac:dyDescent="0.25">
      <c r="D50" s="67"/>
      <c r="E50" s="67"/>
      <c r="F50" s="67"/>
      <c r="G50" s="67"/>
      <c r="H50" s="67"/>
      <c r="I50" s="67"/>
      <c r="J50" s="67"/>
      <c r="K50" s="71"/>
      <c r="L50" s="68"/>
      <c r="N50" s="70"/>
      <c r="O50" s="67"/>
      <c r="P50" s="69"/>
      <c r="U50" s="67"/>
      <c r="V50" s="67"/>
      <c r="W50" s="67"/>
      <c r="X50" s="67"/>
      <c r="Y50" s="67"/>
      <c r="Z50" s="67"/>
      <c r="AA50" s="67"/>
    </row>
    <row r="51" spans="4:27" x14ac:dyDescent="0.25">
      <c r="D51" s="67"/>
      <c r="E51" s="67"/>
      <c r="F51" s="67"/>
      <c r="G51" s="67"/>
      <c r="H51" s="67"/>
      <c r="I51" s="67"/>
      <c r="J51" s="67"/>
      <c r="K51" s="71"/>
      <c r="L51" s="68"/>
      <c r="N51" s="70"/>
      <c r="O51" s="67"/>
      <c r="P51" s="69"/>
      <c r="U51" s="67"/>
      <c r="V51" s="67"/>
      <c r="W51" s="67"/>
      <c r="X51" s="67"/>
      <c r="Y51" s="67"/>
      <c r="Z51" s="67"/>
      <c r="AA51" s="67"/>
    </row>
    <row r="52" spans="4:27" x14ac:dyDescent="0.25">
      <c r="D52" s="67"/>
      <c r="E52" s="67"/>
      <c r="F52" s="67"/>
      <c r="G52" s="67"/>
      <c r="H52" s="67"/>
      <c r="I52" s="67"/>
      <c r="J52" s="67"/>
      <c r="K52" s="71"/>
      <c r="L52" s="68"/>
      <c r="N52" s="70"/>
      <c r="O52" s="67"/>
      <c r="P52" s="69"/>
      <c r="U52" s="67"/>
      <c r="V52" s="67"/>
      <c r="W52" s="67"/>
      <c r="X52" s="67"/>
      <c r="Y52" s="67"/>
      <c r="Z52" s="67"/>
      <c r="AA52" s="67"/>
    </row>
    <row r="53" spans="4:27" x14ac:dyDescent="0.25">
      <c r="D53" s="67"/>
      <c r="E53" s="67"/>
      <c r="F53" s="67"/>
      <c r="G53" s="67"/>
      <c r="H53" s="67"/>
      <c r="I53" s="67"/>
      <c r="J53" s="67"/>
      <c r="K53" s="71"/>
      <c r="L53" s="68"/>
      <c r="N53" s="70"/>
      <c r="O53" s="67"/>
      <c r="P53" s="69"/>
      <c r="U53" s="67"/>
      <c r="V53" s="67"/>
      <c r="W53" s="67"/>
      <c r="X53" s="67"/>
      <c r="Y53" s="67"/>
      <c r="Z53" s="67"/>
      <c r="AA53" s="67"/>
    </row>
    <row r="54" spans="4:27" x14ac:dyDescent="0.25">
      <c r="D54" s="67"/>
      <c r="E54" s="67"/>
      <c r="F54" s="67"/>
      <c r="G54" s="67"/>
      <c r="H54" s="67"/>
      <c r="I54" s="67"/>
      <c r="J54" s="67"/>
      <c r="K54" s="71"/>
      <c r="L54" s="68"/>
      <c r="N54" s="70"/>
      <c r="O54" s="67"/>
      <c r="P54" s="69"/>
      <c r="U54" s="67"/>
      <c r="V54" s="67"/>
      <c r="W54" s="67"/>
      <c r="X54" s="67"/>
      <c r="Y54" s="67"/>
      <c r="Z54" s="67"/>
      <c r="AA54" s="67"/>
    </row>
    <row r="55" spans="4:27" x14ac:dyDescent="0.25">
      <c r="D55" s="67"/>
      <c r="E55" s="67"/>
      <c r="F55" s="67"/>
      <c r="G55" s="67"/>
      <c r="H55" s="67"/>
      <c r="I55" s="67"/>
      <c r="J55" s="67"/>
      <c r="K55" s="71"/>
      <c r="L55" s="68"/>
      <c r="N55" s="70"/>
      <c r="O55" s="67"/>
      <c r="P55" s="69"/>
      <c r="U55" s="67"/>
      <c r="V55" s="67"/>
      <c r="W55" s="67"/>
      <c r="X55" s="67"/>
      <c r="Y55" s="67"/>
      <c r="Z55" s="67"/>
      <c r="AA55" s="67"/>
    </row>
    <row r="56" spans="4:27" x14ac:dyDescent="0.25">
      <c r="D56" s="67"/>
      <c r="E56" s="67"/>
      <c r="F56" s="67"/>
      <c r="G56" s="67"/>
      <c r="H56" s="67"/>
      <c r="I56" s="67"/>
      <c r="J56" s="67"/>
      <c r="K56" s="71"/>
      <c r="L56" s="68"/>
      <c r="N56" s="70"/>
      <c r="O56" s="67"/>
      <c r="P56" s="69"/>
      <c r="U56" s="67"/>
      <c r="V56" s="67"/>
      <c r="W56" s="67"/>
      <c r="X56" s="67"/>
      <c r="Y56" s="67"/>
      <c r="Z56" s="67"/>
      <c r="AA56" s="67"/>
    </row>
    <row r="57" spans="4:27" x14ac:dyDescent="0.25">
      <c r="D57" s="67"/>
      <c r="E57" s="67"/>
      <c r="F57" s="67"/>
      <c r="G57" s="67"/>
      <c r="H57" s="67"/>
      <c r="I57" s="67"/>
      <c r="J57" s="67"/>
      <c r="K57" s="71"/>
      <c r="L57" s="68"/>
      <c r="N57" s="70"/>
      <c r="O57" s="67"/>
      <c r="P57" s="69"/>
      <c r="U57" s="67"/>
      <c r="V57" s="67"/>
      <c r="W57" s="67"/>
      <c r="X57" s="67"/>
      <c r="Y57" s="67"/>
      <c r="Z57" s="67"/>
      <c r="AA57" s="67"/>
    </row>
    <row r="58" spans="4:27" x14ac:dyDescent="0.25">
      <c r="D58" s="67"/>
      <c r="E58" s="67"/>
      <c r="F58" s="67"/>
      <c r="G58" s="67"/>
      <c r="H58" s="67"/>
      <c r="I58" s="67"/>
      <c r="J58" s="67"/>
      <c r="K58" s="71"/>
      <c r="L58" s="68"/>
      <c r="N58" s="70"/>
      <c r="O58" s="67"/>
      <c r="P58" s="69"/>
      <c r="U58" s="67"/>
      <c r="V58" s="67"/>
      <c r="W58" s="67"/>
      <c r="X58" s="67"/>
      <c r="Y58" s="67"/>
      <c r="Z58" s="67"/>
      <c r="AA58" s="67"/>
    </row>
    <row r="59" spans="4:27" x14ac:dyDescent="0.25">
      <c r="D59" s="67"/>
      <c r="E59" s="67"/>
      <c r="F59" s="67"/>
      <c r="G59" s="67"/>
      <c r="H59" s="67"/>
      <c r="I59" s="67"/>
      <c r="J59" s="67"/>
      <c r="K59" s="71"/>
      <c r="L59" s="68"/>
      <c r="N59" s="70"/>
      <c r="O59" s="67"/>
      <c r="P59" s="69"/>
      <c r="U59" s="67"/>
      <c r="V59" s="67"/>
      <c r="W59" s="67"/>
      <c r="X59" s="67"/>
      <c r="Y59" s="67"/>
      <c r="Z59" s="67"/>
      <c r="AA59" s="67"/>
    </row>
    <row r="60" spans="4:27" x14ac:dyDescent="0.25">
      <c r="D60" s="67"/>
      <c r="E60" s="67"/>
      <c r="F60" s="67"/>
      <c r="G60" s="67"/>
      <c r="H60" s="67"/>
      <c r="I60" s="67"/>
      <c r="J60" s="67"/>
      <c r="K60" s="71"/>
      <c r="L60" s="68"/>
      <c r="N60" s="70"/>
      <c r="O60" s="67"/>
      <c r="P60" s="69"/>
      <c r="U60" s="67"/>
      <c r="V60" s="67"/>
      <c r="W60" s="67"/>
      <c r="X60" s="67"/>
      <c r="Y60" s="67"/>
      <c r="Z60" s="67"/>
      <c r="AA60" s="67"/>
    </row>
    <row r="61" spans="4:27" x14ac:dyDescent="0.25">
      <c r="D61" s="67"/>
      <c r="E61" s="67"/>
      <c r="F61" s="67"/>
      <c r="G61" s="67"/>
      <c r="H61" s="67"/>
      <c r="I61" s="67"/>
      <c r="J61" s="67"/>
      <c r="K61" s="71"/>
      <c r="L61" s="68"/>
      <c r="N61" s="70"/>
      <c r="O61" s="67"/>
      <c r="P61" s="69"/>
      <c r="U61" s="67"/>
      <c r="V61" s="67"/>
      <c r="W61" s="67"/>
      <c r="X61" s="67"/>
      <c r="Y61" s="67"/>
      <c r="Z61" s="67"/>
      <c r="AA61" s="67"/>
    </row>
    <row r="62" spans="4:27" x14ac:dyDescent="0.25">
      <c r="D62" s="67"/>
      <c r="E62" s="67"/>
      <c r="F62" s="67"/>
      <c r="G62" s="67"/>
      <c r="H62" s="67"/>
      <c r="I62" s="67"/>
      <c r="J62" s="67"/>
      <c r="K62" s="71"/>
      <c r="L62" s="68"/>
      <c r="N62" s="70"/>
      <c r="O62" s="67"/>
      <c r="P62" s="69"/>
      <c r="U62" s="67"/>
      <c r="V62" s="67"/>
      <c r="W62" s="67"/>
      <c r="X62" s="67"/>
      <c r="Y62" s="67"/>
      <c r="Z62" s="67"/>
      <c r="AA62" s="67"/>
    </row>
    <row r="63" spans="4:27" x14ac:dyDescent="0.25">
      <c r="D63" s="67"/>
      <c r="E63" s="67"/>
      <c r="F63" s="67"/>
      <c r="G63" s="67"/>
      <c r="H63" s="67"/>
      <c r="I63" s="67"/>
      <c r="J63" s="67"/>
      <c r="K63" s="71"/>
      <c r="L63" s="68"/>
      <c r="N63" s="70"/>
      <c r="O63" s="67"/>
      <c r="P63" s="69"/>
      <c r="U63" s="67"/>
      <c r="V63" s="67"/>
      <c r="W63" s="67"/>
      <c r="X63" s="67"/>
      <c r="Y63" s="67"/>
      <c r="Z63" s="67"/>
      <c r="AA63" s="67"/>
    </row>
    <row r="64" spans="4:27" x14ac:dyDescent="0.25">
      <c r="D64" s="67"/>
      <c r="E64" s="67"/>
      <c r="F64" s="67"/>
      <c r="G64" s="67"/>
      <c r="H64" s="67"/>
      <c r="I64" s="67"/>
      <c r="J64" s="67"/>
      <c r="K64" s="71"/>
      <c r="L64" s="68"/>
      <c r="N64" s="70"/>
      <c r="O64" s="67"/>
      <c r="P64" s="69"/>
      <c r="U64" s="67"/>
      <c r="V64" s="67"/>
      <c r="W64" s="67"/>
      <c r="X64" s="67"/>
      <c r="Y64" s="67"/>
      <c r="Z64" s="67"/>
      <c r="AA64" s="67"/>
    </row>
    <row r="65" spans="4:27" x14ac:dyDescent="0.25">
      <c r="D65" s="67"/>
      <c r="E65" s="67"/>
      <c r="F65" s="67"/>
      <c r="G65" s="67"/>
      <c r="H65" s="67"/>
      <c r="I65" s="67"/>
      <c r="J65" s="67"/>
      <c r="K65" s="71"/>
      <c r="L65" s="68"/>
      <c r="N65" s="70"/>
      <c r="O65" s="67"/>
      <c r="P65" s="69"/>
      <c r="U65" s="67"/>
      <c r="V65" s="67"/>
      <c r="W65" s="67"/>
      <c r="X65" s="67"/>
      <c r="Y65" s="67"/>
      <c r="Z65" s="67"/>
      <c r="AA65" s="67"/>
    </row>
    <row r="66" spans="4:27" x14ac:dyDescent="0.25">
      <c r="D66" s="67"/>
      <c r="E66" s="67"/>
      <c r="F66" s="67"/>
      <c r="G66" s="67"/>
      <c r="H66" s="67"/>
      <c r="I66" s="67"/>
      <c r="J66" s="67"/>
      <c r="K66" s="71"/>
      <c r="L66" s="68"/>
      <c r="N66" s="70"/>
      <c r="O66" s="67"/>
      <c r="P66" s="69"/>
      <c r="U66" s="67"/>
      <c r="V66" s="67"/>
      <c r="W66" s="67"/>
      <c r="X66" s="67"/>
      <c r="Y66" s="67"/>
      <c r="Z66" s="67"/>
      <c r="AA66" s="67"/>
    </row>
    <row r="67" spans="4:27" x14ac:dyDescent="0.25">
      <c r="D67" s="67"/>
      <c r="E67" s="67"/>
      <c r="F67" s="67"/>
      <c r="G67" s="67"/>
      <c r="H67" s="67"/>
      <c r="I67" s="67"/>
      <c r="J67" s="67"/>
      <c r="K67" s="71"/>
      <c r="L67" s="68"/>
      <c r="N67" s="70"/>
      <c r="O67" s="67"/>
      <c r="P67" s="69"/>
      <c r="U67" s="67"/>
      <c r="V67" s="67"/>
      <c r="W67" s="67"/>
      <c r="X67" s="67"/>
      <c r="Y67" s="67"/>
      <c r="Z67" s="67"/>
      <c r="AA67" s="67"/>
    </row>
    <row r="68" spans="4:27" x14ac:dyDescent="0.25">
      <c r="D68" s="67"/>
      <c r="E68" s="67"/>
      <c r="F68" s="67"/>
      <c r="G68" s="67"/>
      <c r="H68" s="67"/>
      <c r="I68" s="67"/>
      <c r="J68" s="67"/>
      <c r="K68" s="71"/>
      <c r="L68" s="68"/>
      <c r="N68" s="70"/>
      <c r="O68" s="67"/>
      <c r="P68" s="69"/>
      <c r="U68" s="67"/>
      <c r="V68" s="67"/>
      <c r="W68" s="67"/>
      <c r="X68" s="67"/>
      <c r="Y68" s="67"/>
      <c r="Z68" s="67"/>
      <c r="AA68" s="67"/>
    </row>
    <row r="69" spans="4:27" x14ac:dyDescent="0.25">
      <c r="D69" s="67"/>
      <c r="E69" s="67"/>
      <c r="F69" s="67"/>
      <c r="G69" s="67"/>
      <c r="H69" s="67"/>
      <c r="I69" s="67"/>
      <c r="J69" s="67"/>
      <c r="K69" s="71"/>
      <c r="L69" s="68"/>
      <c r="N69" s="70"/>
      <c r="O69" s="67"/>
      <c r="P69" s="69"/>
      <c r="U69" s="67"/>
      <c r="V69" s="67"/>
      <c r="W69" s="67"/>
      <c r="X69" s="67"/>
      <c r="Y69" s="67"/>
      <c r="Z69" s="67"/>
      <c r="AA69" s="67"/>
    </row>
    <row r="70" spans="4:27" x14ac:dyDescent="0.25">
      <c r="D70" s="67"/>
      <c r="E70" s="67"/>
      <c r="F70" s="67"/>
      <c r="G70" s="67"/>
      <c r="H70" s="67"/>
      <c r="I70" s="67"/>
      <c r="J70" s="67"/>
      <c r="K70" s="71"/>
      <c r="L70" s="68"/>
      <c r="N70" s="70"/>
      <c r="O70" s="67"/>
      <c r="P70" s="69"/>
      <c r="U70" s="67"/>
      <c r="V70" s="67"/>
      <c r="W70" s="67"/>
      <c r="X70" s="67"/>
      <c r="Y70" s="67"/>
      <c r="Z70" s="67"/>
      <c r="AA70" s="67"/>
    </row>
    <row r="71" spans="4:27" x14ac:dyDescent="0.25">
      <c r="D71" s="67"/>
      <c r="E71" s="67"/>
      <c r="F71" s="67"/>
      <c r="G71" s="67"/>
      <c r="H71" s="67"/>
      <c r="I71" s="67"/>
      <c r="J71" s="67"/>
      <c r="K71" s="71"/>
      <c r="L71" s="68"/>
      <c r="N71" s="70"/>
      <c r="O71" s="67"/>
      <c r="P71" s="69"/>
      <c r="U71" s="67"/>
      <c r="V71" s="67"/>
      <c r="W71" s="67"/>
      <c r="X71" s="67"/>
      <c r="Y71" s="67"/>
      <c r="Z71" s="67"/>
      <c r="AA71" s="67"/>
    </row>
    <row r="72" spans="4:27" x14ac:dyDescent="0.25">
      <c r="D72" s="67"/>
      <c r="E72" s="67"/>
      <c r="F72" s="67"/>
      <c r="G72" s="67"/>
      <c r="H72" s="67"/>
      <c r="I72" s="67"/>
      <c r="J72" s="67"/>
      <c r="K72" s="71"/>
      <c r="L72" s="68"/>
      <c r="N72" s="70"/>
      <c r="O72" s="67"/>
      <c r="P72" s="69"/>
      <c r="U72" s="67"/>
      <c r="V72" s="67"/>
      <c r="W72" s="67"/>
      <c r="X72" s="67"/>
      <c r="Y72" s="67"/>
      <c r="Z72" s="67"/>
      <c r="AA72" s="67"/>
    </row>
    <row r="73" spans="4:27" x14ac:dyDescent="0.25">
      <c r="D73" s="67"/>
      <c r="E73" s="67"/>
      <c r="F73" s="67"/>
      <c r="G73" s="67"/>
      <c r="H73" s="67"/>
      <c r="I73" s="67"/>
      <c r="J73" s="67"/>
      <c r="K73" s="71"/>
      <c r="L73" s="68"/>
      <c r="N73" s="70"/>
      <c r="O73" s="67"/>
      <c r="P73" s="69"/>
      <c r="U73" s="67"/>
      <c r="V73" s="67"/>
      <c r="W73" s="67"/>
      <c r="X73" s="67"/>
      <c r="Y73" s="67"/>
      <c r="Z73" s="67"/>
      <c r="AA73" s="67"/>
    </row>
    <row r="74" spans="4:27" x14ac:dyDescent="0.25">
      <c r="D74" s="67"/>
      <c r="E74" s="67"/>
      <c r="F74" s="67"/>
      <c r="G74" s="67"/>
      <c r="H74" s="67"/>
      <c r="I74" s="67"/>
      <c r="J74" s="67"/>
      <c r="K74" s="71"/>
      <c r="L74" s="68"/>
      <c r="N74" s="70"/>
      <c r="O74" s="67"/>
      <c r="P74" s="69"/>
      <c r="U74" s="67"/>
      <c r="V74" s="67"/>
      <c r="W74" s="67"/>
      <c r="X74" s="67"/>
      <c r="Y74" s="67"/>
      <c r="Z74" s="67"/>
      <c r="AA74" s="67"/>
    </row>
    <row r="75" spans="4:27" x14ac:dyDescent="0.25">
      <c r="D75" s="67"/>
      <c r="E75" s="67"/>
      <c r="F75" s="67"/>
      <c r="G75" s="67"/>
      <c r="H75" s="67"/>
      <c r="I75" s="67"/>
      <c r="J75" s="67"/>
      <c r="K75" s="71"/>
      <c r="L75" s="68"/>
      <c r="N75" s="70"/>
      <c r="O75" s="67"/>
      <c r="P75" s="69"/>
      <c r="U75" s="67"/>
      <c r="V75" s="67"/>
      <c r="W75" s="67"/>
      <c r="X75" s="67"/>
      <c r="Y75" s="67"/>
      <c r="Z75" s="67"/>
      <c r="AA75" s="67"/>
    </row>
    <row r="76" spans="4:27" x14ac:dyDescent="0.25">
      <c r="D76" s="67"/>
      <c r="E76" s="67"/>
      <c r="F76" s="67"/>
      <c r="G76" s="67"/>
      <c r="H76" s="67"/>
      <c r="I76" s="67"/>
      <c r="J76" s="67"/>
      <c r="K76" s="71"/>
      <c r="L76" s="68"/>
      <c r="N76" s="70"/>
      <c r="O76" s="67"/>
      <c r="P76" s="69"/>
      <c r="U76" s="67"/>
      <c r="V76" s="67"/>
      <c r="W76" s="67"/>
      <c r="X76" s="67"/>
      <c r="Y76" s="67"/>
      <c r="Z76" s="67"/>
      <c r="AA76" s="67"/>
    </row>
    <row r="77" spans="4:27" x14ac:dyDescent="0.25">
      <c r="D77" s="67"/>
      <c r="E77" s="67"/>
      <c r="F77" s="67"/>
      <c r="G77" s="67"/>
      <c r="H77" s="67"/>
      <c r="I77" s="67"/>
      <c r="J77" s="67"/>
      <c r="K77" s="71"/>
      <c r="L77" s="68"/>
      <c r="N77" s="70"/>
      <c r="O77" s="67"/>
      <c r="P77" s="69"/>
      <c r="U77" s="67"/>
      <c r="V77" s="67"/>
      <c r="W77" s="67"/>
      <c r="X77" s="67"/>
      <c r="Y77" s="67"/>
      <c r="Z77" s="67"/>
      <c r="AA77" s="67"/>
    </row>
    <row r="78" spans="4:27" x14ac:dyDescent="0.25">
      <c r="D78" s="67"/>
      <c r="E78" s="67"/>
      <c r="F78" s="67"/>
      <c r="G78" s="67"/>
      <c r="H78" s="67"/>
      <c r="I78" s="67"/>
      <c r="J78" s="67"/>
      <c r="K78" s="71"/>
      <c r="L78" s="68"/>
      <c r="N78" s="70"/>
      <c r="O78" s="67"/>
      <c r="P78" s="69"/>
      <c r="U78" s="67"/>
      <c r="V78" s="67"/>
      <c r="W78" s="67"/>
      <c r="X78" s="67"/>
      <c r="Y78" s="67"/>
      <c r="Z78" s="67"/>
      <c r="AA78" s="67"/>
    </row>
    <row r="79" spans="4:27" x14ac:dyDescent="0.25">
      <c r="D79" s="67"/>
      <c r="E79" s="67"/>
      <c r="F79" s="67"/>
      <c r="G79" s="67"/>
      <c r="H79" s="67"/>
      <c r="I79" s="67"/>
      <c r="J79" s="67"/>
      <c r="K79" s="71"/>
      <c r="L79" s="68"/>
      <c r="N79" s="70"/>
      <c r="O79" s="67"/>
      <c r="P79" s="69"/>
      <c r="U79" s="67"/>
      <c r="V79" s="67"/>
      <c r="W79" s="67"/>
      <c r="X79" s="67"/>
      <c r="Y79" s="67"/>
      <c r="Z79" s="67"/>
      <c r="AA79" s="67"/>
    </row>
    <row r="80" spans="4:27" x14ac:dyDescent="0.25">
      <c r="D80" s="67"/>
      <c r="E80" s="67"/>
      <c r="F80" s="67"/>
      <c r="G80" s="67"/>
      <c r="H80" s="67"/>
      <c r="I80" s="67"/>
      <c r="J80" s="67"/>
      <c r="K80" s="71"/>
      <c r="L80" s="68"/>
      <c r="N80" s="70"/>
      <c r="O80" s="67"/>
      <c r="P80" s="69"/>
      <c r="U80" s="67"/>
      <c r="V80" s="67"/>
      <c r="W80" s="67"/>
      <c r="X80" s="67"/>
      <c r="Y80" s="67"/>
      <c r="Z80" s="67"/>
      <c r="AA80" s="67"/>
    </row>
    <row r="81" spans="4:27" x14ac:dyDescent="0.25">
      <c r="D81" s="67"/>
      <c r="E81" s="67"/>
      <c r="F81" s="67"/>
      <c r="G81" s="67"/>
      <c r="H81" s="67"/>
      <c r="I81" s="67"/>
      <c r="J81" s="67"/>
      <c r="K81" s="71"/>
      <c r="L81" s="68"/>
      <c r="N81" s="70"/>
      <c r="O81" s="67"/>
      <c r="P81" s="69"/>
      <c r="U81" s="67"/>
      <c r="V81" s="67"/>
      <c r="W81" s="67"/>
      <c r="X81" s="67"/>
      <c r="Y81" s="67"/>
      <c r="Z81" s="67"/>
      <c r="AA81" s="67"/>
    </row>
    <row r="82" spans="4:27" x14ac:dyDescent="0.25">
      <c r="D82" s="67"/>
      <c r="E82" s="67"/>
      <c r="F82" s="67"/>
      <c r="G82" s="67"/>
      <c r="H82" s="67"/>
      <c r="I82" s="67"/>
      <c r="J82" s="67"/>
      <c r="K82" s="71"/>
      <c r="L82" s="68"/>
      <c r="N82" s="70"/>
      <c r="O82" s="67"/>
      <c r="P82" s="69"/>
      <c r="U82" s="67"/>
      <c r="V82" s="67"/>
      <c r="W82" s="67"/>
      <c r="X82" s="67"/>
      <c r="Y82" s="67"/>
      <c r="Z82" s="67"/>
      <c r="AA82" s="67"/>
    </row>
    <row r="83" spans="4:27" x14ac:dyDescent="0.25">
      <c r="D83" s="67"/>
      <c r="E83" s="67"/>
      <c r="F83" s="67"/>
      <c r="G83" s="67"/>
      <c r="H83" s="67"/>
      <c r="I83" s="67"/>
      <c r="J83" s="67"/>
      <c r="K83" s="71"/>
      <c r="L83" s="68"/>
      <c r="N83" s="70"/>
      <c r="O83" s="67"/>
      <c r="P83" s="69"/>
      <c r="U83" s="67"/>
      <c r="V83" s="67"/>
      <c r="W83" s="67"/>
      <c r="X83" s="67"/>
      <c r="Y83" s="67"/>
      <c r="Z83" s="67"/>
      <c r="AA83" s="67"/>
    </row>
    <row r="84" spans="4:27" x14ac:dyDescent="0.25">
      <c r="D84" s="67"/>
      <c r="E84" s="67"/>
      <c r="F84" s="67"/>
      <c r="G84" s="67"/>
      <c r="H84" s="67"/>
      <c r="I84" s="67"/>
      <c r="J84" s="67"/>
      <c r="K84" s="71"/>
      <c r="L84" s="68"/>
      <c r="N84" s="70"/>
      <c r="O84" s="67"/>
      <c r="P84" s="69"/>
      <c r="U84" s="67"/>
      <c r="V84" s="67"/>
      <c r="W84" s="67"/>
      <c r="X84" s="67"/>
      <c r="Y84" s="67"/>
      <c r="Z84" s="67"/>
      <c r="AA84" s="67"/>
    </row>
    <row r="85" spans="4:27" x14ac:dyDescent="0.25">
      <c r="D85" s="67"/>
      <c r="E85" s="67"/>
      <c r="F85" s="67"/>
      <c r="G85" s="67"/>
      <c r="H85" s="67"/>
      <c r="I85" s="67"/>
      <c r="J85" s="67"/>
      <c r="K85" s="71"/>
      <c r="L85" s="68"/>
      <c r="N85" s="70"/>
      <c r="O85" s="67"/>
      <c r="P85" s="69"/>
      <c r="U85" s="67"/>
      <c r="V85" s="67"/>
      <c r="W85" s="67"/>
      <c r="X85" s="67"/>
      <c r="Y85" s="67"/>
      <c r="Z85" s="67"/>
      <c r="AA85" s="67"/>
    </row>
    <row r="86" spans="4:27" x14ac:dyDescent="0.25">
      <c r="D86" s="67"/>
      <c r="E86" s="67"/>
      <c r="F86" s="67"/>
      <c r="G86" s="67"/>
      <c r="H86" s="67"/>
      <c r="I86" s="67"/>
      <c r="J86" s="67"/>
      <c r="K86" s="71"/>
      <c r="L86" s="68"/>
      <c r="N86" s="70"/>
      <c r="O86" s="67"/>
      <c r="P86" s="69"/>
      <c r="U86" s="67"/>
      <c r="V86" s="67"/>
      <c r="W86" s="67"/>
      <c r="X86" s="67"/>
      <c r="Y86" s="67"/>
      <c r="Z86" s="67"/>
      <c r="AA86" s="67"/>
    </row>
    <row r="87" spans="4:27" x14ac:dyDescent="0.25">
      <c r="D87" s="67"/>
      <c r="E87" s="67"/>
      <c r="F87" s="67"/>
      <c r="G87" s="67"/>
      <c r="H87" s="67"/>
      <c r="I87" s="67"/>
      <c r="J87" s="67"/>
      <c r="K87" s="71"/>
      <c r="L87" s="68"/>
      <c r="N87" s="70"/>
      <c r="O87" s="67"/>
      <c r="P87" s="69"/>
      <c r="U87" s="67"/>
      <c r="V87" s="67"/>
      <c r="W87" s="67"/>
      <c r="X87" s="67"/>
      <c r="Y87" s="67"/>
      <c r="Z87" s="67"/>
      <c r="AA87" s="67"/>
    </row>
    <row r="88" spans="4:27" x14ac:dyDescent="0.25">
      <c r="D88" s="67"/>
      <c r="E88" s="67"/>
      <c r="F88" s="67"/>
      <c r="G88" s="67"/>
      <c r="H88" s="67"/>
      <c r="I88" s="67"/>
      <c r="J88" s="67"/>
      <c r="K88" s="71"/>
      <c r="L88" s="68"/>
      <c r="N88" s="70"/>
      <c r="O88" s="67"/>
      <c r="P88" s="69"/>
      <c r="U88" s="67"/>
      <c r="V88" s="67"/>
      <c r="W88" s="67"/>
      <c r="X88" s="67"/>
      <c r="Y88" s="67"/>
      <c r="Z88" s="67"/>
      <c r="AA88" s="67"/>
    </row>
    <row r="89" spans="4:27" x14ac:dyDescent="0.25">
      <c r="D89" s="67"/>
      <c r="E89" s="67"/>
      <c r="F89" s="67"/>
      <c r="G89" s="67"/>
      <c r="H89" s="67"/>
      <c r="I89" s="67"/>
      <c r="J89" s="67"/>
      <c r="K89" s="71"/>
      <c r="L89" s="68"/>
      <c r="N89" s="70"/>
      <c r="O89" s="67"/>
      <c r="P89" s="69"/>
      <c r="U89" s="67"/>
      <c r="V89" s="67"/>
      <c r="W89" s="67"/>
      <c r="X89" s="67"/>
      <c r="Y89" s="67"/>
      <c r="Z89" s="67"/>
      <c r="AA89" s="67"/>
    </row>
    <row r="90" spans="4:27" x14ac:dyDescent="0.25">
      <c r="D90" s="67"/>
      <c r="E90" s="67"/>
      <c r="F90" s="67"/>
      <c r="G90" s="67"/>
      <c r="H90" s="67"/>
      <c r="I90" s="67"/>
      <c r="J90" s="67"/>
      <c r="K90" s="71"/>
      <c r="L90" s="68"/>
      <c r="N90" s="70"/>
      <c r="O90" s="67"/>
      <c r="P90" s="69"/>
      <c r="U90" s="67"/>
      <c r="V90" s="67"/>
      <c r="W90" s="67"/>
      <c r="X90" s="67"/>
      <c r="Y90" s="67"/>
      <c r="Z90" s="67"/>
      <c r="AA90" s="67"/>
    </row>
    <row r="91" spans="4:27" x14ac:dyDescent="0.25">
      <c r="D91" s="67"/>
      <c r="E91" s="67"/>
      <c r="F91" s="67"/>
      <c r="G91" s="67"/>
      <c r="H91" s="67"/>
      <c r="I91" s="67"/>
      <c r="J91" s="67"/>
      <c r="K91" s="71"/>
      <c r="L91" s="68"/>
      <c r="N91" s="70"/>
      <c r="O91" s="67"/>
      <c r="P91" s="69"/>
      <c r="U91" s="67"/>
      <c r="V91" s="67"/>
      <c r="W91" s="67"/>
      <c r="X91" s="67"/>
      <c r="Y91" s="67"/>
      <c r="Z91" s="67"/>
      <c r="AA91" s="67"/>
    </row>
    <row r="92" spans="4:27" x14ac:dyDescent="0.25">
      <c r="D92" s="67"/>
      <c r="E92" s="67"/>
      <c r="F92" s="67"/>
      <c r="G92" s="67"/>
      <c r="H92" s="67"/>
      <c r="I92" s="67"/>
      <c r="J92" s="67"/>
      <c r="K92" s="71"/>
      <c r="L92" s="68"/>
      <c r="N92" s="70"/>
      <c r="O92" s="67"/>
      <c r="P92" s="69"/>
      <c r="U92" s="67"/>
      <c r="V92" s="67"/>
      <c r="W92" s="67"/>
      <c r="X92" s="67"/>
      <c r="Y92" s="67"/>
      <c r="Z92" s="67"/>
      <c r="AA92" s="67"/>
    </row>
    <row r="93" spans="4:27" x14ac:dyDescent="0.25">
      <c r="D93" s="67"/>
      <c r="E93" s="67"/>
      <c r="F93" s="67"/>
      <c r="G93" s="67"/>
      <c r="H93" s="67"/>
      <c r="I93" s="67"/>
      <c r="J93" s="67"/>
      <c r="K93" s="71"/>
      <c r="L93" s="68"/>
      <c r="N93" s="70"/>
      <c r="O93" s="67"/>
      <c r="P93" s="69"/>
      <c r="U93" s="67"/>
      <c r="V93" s="67"/>
      <c r="W93" s="67"/>
      <c r="X93" s="67"/>
      <c r="Y93" s="67"/>
      <c r="Z93" s="67"/>
      <c r="AA93" s="67"/>
    </row>
    <row r="94" spans="4:27" x14ac:dyDescent="0.25">
      <c r="D94" s="67"/>
      <c r="E94" s="67"/>
      <c r="F94" s="67"/>
      <c r="G94" s="67"/>
      <c r="H94" s="67"/>
      <c r="I94" s="67"/>
      <c r="J94" s="67"/>
      <c r="K94" s="71"/>
      <c r="L94" s="68"/>
      <c r="N94" s="70"/>
      <c r="O94" s="67"/>
      <c r="P94" s="69"/>
      <c r="U94" s="67"/>
      <c r="V94" s="67"/>
      <c r="W94" s="67"/>
      <c r="X94" s="67"/>
      <c r="Y94" s="67"/>
      <c r="Z94" s="67"/>
      <c r="AA94" s="67"/>
    </row>
    <row r="95" spans="4:27" x14ac:dyDescent="0.25">
      <c r="D95" s="67"/>
      <c r="E95" s="67"/>
      <c r="F95" s="67"/>
      <c r="G95" s="67"/>
      <c r="H95" s="67"/>
      <c r="I95" s="67"/>
      <c r="J95" s="67"/>
      <c r="K95" s="71"/>
      <c r="L95" s="68"/>
      <c r="N95" s="70"/>
      <c r="O95" s="67"/>
      <c r="P95" s="69"/>
      <c r="U95" s="67"/>
      <c r="V95" s="67"/>
      <c r="W95" s="67"/>
      <c r="X95" s="67"/>
      <c r="Y95" s="67"/>
      <c r="Z95" s="67"/>
      <c r="AA95" s="67"/>
    </row>
    <row r="96" spans="4:27" x14ac:dyDescent="0.25">
      <c r="D96" s="67"/>
      <c r="E96" s="67"/>
      <c r="F96" s="67"/>
      <c r="G96" s="67"/>
      <c r="H96" s="67"/>
      <c r="I96" s="67"/>
      <c r="J96" s="67"/>
      <c r="K96" s="71"/>
      <c r="L96" s="68"/>
      <c r="N96" s="70"/>
      <c r="O96" s="67"/>
      <c r="P96" s="69"/>
      <c r="U96" s="67"/>
      <c r="V96" s="67"/>
      <c r="W96" s="67"/>
      <c r="X96" s="67"/>
      <c r="Y96" s="67"/>
      <c r="Z96" s="67"/>
      <c r="AA96" s="67"/>
    </row>
    <row r="97" spans="4:27" x14ac:dyDescent="0.25">
      <c r="D97" s="67"/>
      <c r="E97" s="67"/>
      <c r="F97" s="67"/>
      <c r="G97" s="67"/>
      <c r="H97" s="67"/>
      <c r="I97" s="67"/>
      <c r="J97" s="67"/>
      <c r="K97" s="71"/>
      <c r="L97" s="68"/>
      <c r="N97" s="70"/>
      <c r="O97" s="67"/>
      <c r="P97" s="69"/>
      <c r="U97" s="67"/>
      <c r="V97" s="67"/>
      <c r="W97" s="67"/>
      <c r="X97" s="67"/>
      <c r="Y97" s="67"/>
      <c r="Z97" s="67"/>
      <c r="AA97" s="67"/>
    </row>
    <row r="98" spans="4:27" x14ac:dyDescent="0.25">
      <c r="D98" s="67"/>
      <c r="E98" s="67"/>
      <c r="F98" s="67"/>
      <c r="G98" s="67"/>
      <c r="H98" s="67"/>
      <c r="I98" s="67"/>
      <c r="J98" s="67"/>
      <c r="K98" s="71"/>
      <c r="L98" s="68"/>
      <c r="N98" s="70"/>
      <c r="O98" s="67"/>
      <c r="P98" s="69"/>
      <c r="U98" s="67"/>
      <c r="V98" s="67"/>
      <c r="W98" s="67"/>
      <c r="X98" s="67"/>
      <c r="Y98" s="67"/>
      <c r="Z98" s="67"/>
      <c r="AA98" s="67"/>
    </row>
    <row r="99" spans="4:27" x14ac:dyDescent="0.25">
      <c r="D99" s="67"/>
      <c r="E99" s="67"/>
      <c r="F99" s="67"/>
      <c r="G99" s="67"/>
      <c r="H99" s="67"/>
      <c r="I99" s="67"/>
      <c r="J99" s="67"/>
      <c r="K99" s="71"/>
      <c r="L99" s="68"/>
      <c r="N99" s="70"/>
      <c r="O99" s="67"/>
      <c r="P99" s="69"/>
      <c r="U99" s="67"/>
      <c r="V99" s="67"/>
      <c r="W99" s="67"/>
      <c r="X99" s="67"/>
      <c r="Y99" s="67"/>
      <c r="Z99" s="67"/>
      <c r="AA99" s="67"/>
    </row>
    <row r="100" spans="4:27" x14ac:dyDescent="0.25">
      <c r="D100" s="67"/>
      <c r="E100" s="67"/>
      <c r="F100" s="67"/>
      <c r="G100" s="67"/>
      <c r="H100" s="67"/>
      <c r="I100" s="67"/>
      <c r="J100" s="67"/>
      <c r="K100" s="71"/>
      <c r="L100" s="68"/>
      <c r="N100" s="70"/>
      <c r="O100" s="67"/>
      <c r="P100" s="69"/>
      <c r="U100" s="67"/>
      <c r="V100" s="67"/>
      <c r="W100" s="67"/>
      <c r="X100" s="67"/>
      <c r="Y100" s="67"/>
      <c r="Z100" s="67"/>
      <c r="AA100" s="67"/>
    </row>
    <row r="101" spans="4:27" x14ac:dyDescent="0.25">
      <c r="D101" s="67"/>
      <c r="E101" s="67"/>
      <c r="F101" s="67"/>
      <c r="G101" s="67"/>
      <c r="H101" s="67"/>
      <c r="I101" s="67"/>
      <c r="J101" s="67"/>
      <c r="K101" s="71"/>
      <c r="L101" s="68"/>
      <c r="N101" s="70"/>
      <c r="O101" s="67"/>
      <c r="P101" s="69"/>
      <c r="U101" s="67"/>
      <c r="V101" s="67"/>
      <c r="W101" s="67"/>
      <c r="X101" s="67"/>
      <c r="Y101" s="67"/>
      <c r="Z101" s="67"/>
      <c r="AA101" s="67"/>
    </row>
    <row r="102" spans="4:27" x14ac:dyDescent="0.25">
      <c r="D102" s="67"/>
      <c r="E102" s="67"/>
      <c r="F102" s="67"/>
      <c r="G102" s="67"/>
      <c r="H102" s="67"/>
      <c r="I102" s="67"/>
      <c r="J102" s="67"/>
      <c r="K102" s="71"/>
      <c r="L102" s="68"/>
      <c r="N102" s="70"/>
      <c r="O102" s="67"/>
      <c r="P102" s="69"/>
      <c r="U102" s="67"/>
      <c r="V102" s="67"/>
      <c r="W102" s="67"/>
      <c r="X102" s="67"/>
      <c r="Y102" s="67"/>
      <c r="Z102" s="67"/>
      <c r="AA102" s="67"/>
    </row>
    <row r="103" spans="4:27" x14ac:dyDescent="0.25">
      <c r="D103" s="67"/>
      <c r="E103" s="67"/>
      <c r="F103" s="67"/>
      <c r="G103" s="67"/>
      <c r="H103" s="67"/>
      <c r="I103" s="67"/>
      <c r="J103" s="67"/>
      <c r="K103" s="71"/>
      <c r="L103" s="68"/>
      <c r="N103" s="70"/>
      <c r="O103" s="67"/>
      <c r="P103" s="69"/>
      <c r="U103" s="67"/>
      <c r="V103" s="67"/>
      <c r="W103" s="67"/>
      <c r="X103" s="67"/>
      <c r="Y103" s="67"/>
      <c r="Z103" s="67"/>
      <c r="AA103" s="67"/>
    </row>
    <row r="104" spans="4:27" x14ac:dyDescent="0.25">
      <c r="D104" s="67"/>
      <c r="E104" s="67"/>
      <c r="F104" s="67"/>
      <c r="G104" s="67"/>
      <c r="H104" s="67"/>
      <c r="I104" s="67"/>
      <c r="J104" s="67"/>
      <c r="K104" s="71"/>
      <c r="L104" s="68"/>
      <c r="N104" s="70"/>
      <c r="O104" s="67"/>
      <c r="P104" s="69"/>
      <c r="U104" s="67"/>
      <c r="V104" s="67"/>
      <c r="W104" s="67"/>
      <c r="X104" s="67"/>
      <c r="Y104" s="67"/>
      <c r="Z104" s="67"/>
      <c r="AA104" s="67"/>
    </row>
    <row r="105" spans="4:27" x14ac:dyDescent="0.25">
      <c r="D105" s="67"/>
      <c r="E105" s="67"/>
      <c r="F105" s="67"/>
      <c r="G105" s="67"/>
      <c r="H105" s="67"/>
      <c r="I105" s="67"/>
      <c r="J105" s="67"/>
      <c r="K105" s="71"/>
      <c r="L105" s="68"/>
      <c r="N105" s="70"/>
      <c r="O105" s="67"/>
      <c r="P105" s="69"/>
      <c r="U105" s="67"/>
      <c r="V105" s="67"/>
      <c r="W105" s="67"/>
      <c r="X105" s="67"/>
      <c r="Y105" s="67"/>
      <c r="Z105" s="67"/>
      <c r="AA105" s="6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6"/>
  <sheetViews>
    <sheetView workbookViewId="0">
      <selection activeCell="G14" sqref="G14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4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103" t="s">
        <v>161</v>
      </c>
      <c r="B1" s="103"/>
    </row>
    <row r="2" spans="1:13" ht="15.75" thickBot="1" x14ac:dyDescent="0.3">
      <c r="A2" s="104"/>
      <c r="B2" s="98"/>
      <c r="C2" s="128" t="s">
        <v>135</v>
      </c>
      <c r="E2" s="98"/>
      <c r="F2" s="98"/>
      <c r="G2" s="99"/>
      <c r="H2" s="128" t="s">
        <v>137</v>
      </c>
      <c r="J2" s="98"/>
      <c r="K2" s="98"/>
      <c r="L2" s="99"/>
    </row>
    <row r="3" spans="1:13" x14ac:dyDescent="0.2">
      <c r="A3" s="105" t="s">
        <v>141</v>
      </c>
      <c r="B3" s="106" t="s">
        <v>131</v>
      </c>
      <c r="C3" s="105" t="s">
        <v>142</v>
      </c>
      <c r="D3" s="106" t="s">
        <v>136</v>
      </c>
      <c r="E3" s="106" t="s">
        <v>138</v>
      </c>
      <c r="F3" s="106" t="s">
        <v>139</v>
      </c>
      <c r="G3" s="107" t="s">
        <v>160</v>
      </c>
      <c r="H3" s="105" t="s">
        <v>142</v>
      </c>
      <c r="I3" s="106" t="s">
        <v>136</v>
      </c>
      <c r="J3" s="106" t="s">
        <v>138</v>
      </c>
      <c r="K3" s="106" t="s">
        <v>139</v>
      </c>
      <c r="L3" s="107" t="s">
        <v>160</v>
      </c>
      <c r="M3" t="s">
        <v>140</v>
      </c>
    </row>
    <row r="4" spans="1:13" x14ac:dyDescent="0.2">
      <c r="A4" s="104" t="str">
        <f>RES!O2</f>
        <v>IPGM</v>
      </c>
      <c r="B4" s="98" t="str">
        <f>RES!O3</f>
        <v>Industry - PGMs - Platinum</v>
      </c>
      <c r="C4" s="104" t="str">
        <f>RES!M9</f>
        <v>IPGMME-E</v>
      </c>
      <c r="D4" s="98" t="str">
        <f>RES!M5</f>
        <v>Industry - PGMs - Mine and refine - existing</v>
      </c>
      <c r="E4" s="97" t="s">
        <v>117</v>
      </c>
      <c r="F4" s="95">
        <f>D28</f>
        <v>260</v>
      </c>
      <c r="G4" s="133"/>
      <c r="H4" s="104"/>
      <c r="I4" s="98"/>
      <c r="J4" s="110"/>
      <c r="K4" s="109"/>
      <c r="L4" s="99"/>
    </row>
    <row r="5" spans="1:13" x14ac:dyDescent="0.2">
      <c r="A5" s="94" t="str">
        <f>RES!P2</f>
        <v>IPGMOP</v>
      </c>
      <c r="B5" s="96" t="str">
        <f>RES!P3</f>
        <v>Industry - PGMs - Other PGMs</v>
      </c>
      <c r="C5" s="94"/>
      <c r="D5" s="96"/>
      <c r="E5" s="97"/>
      <c r="F5" s="95"/>
      <c r="G5" s="131"/>
      <c r="I5" s="96"/>
    </row>
    <row r="6" spans="1:13" x14ac:dyDescent="0.2">
      <c r="A6" s="94" t="str">
        <f>RES!W2</f>
        <v>IPGMD</v>
      </c>
      <c r="B6" s="96" t="str">
        <f>RES!W3</f>
        <v>Industry - demand for PGMS - Pt</v>
      </c>
      <c r="C6" s="94" t="str">
        <f>RES!T9</f>
        <v>XIPGM</v>
      </c>
      <c r="D6" s="96" t="str">
        <f>RES!T7</f>
        <v>To local demand</v>
      </c>
      <c r="F6" s="309">
        <f>D34</f>
        <v>31</v>
      </c>
      <c r="G6" s="131"/>
      <c r="I6" s="96"/>
    </row>
    <row r="7" spans="1:13" x14ac:dyDescent="0.2">
      <c r="A7" s="94"/>
      <c r="B7" s="96"/>
      <c r="C7" s="94"/>
      <c r="D7" s="96"/>
      <c r="G7" s="131"/>
      <c r="H7" s="94" t="str">
        <f>RES!T15</f>
        <v>PEXPGM</v>
      </c>
      <c r="I7" s="96" t="str">
        <f>RES!T13</f>
        <v>Export PGMs - Pt</v>
      </c>
      <c r="K7" s="309">
        <f>D35</f>
        <v>125.30659928953824</v>
      </c>
    </row>
    <row r="8" spans="1:13" x14ac:dyDescent="0.2">
      <c r="A8" s="94"/>
      <c r="B8" s="96"/>
      <c r="C8" s="94"/>
      <c r="D8" s="96"/>
      <c r="G8" s="131"/>
      <c r="H8" s="94" t="str">
        <f>RES!T20</f>
        <v>PEXPGMO</v>
      </c>
      <c r="I8" s="96" t="str">
        <f>RES!T18</f>
        <v>Export PGMs - Others</v>
      </c>
      <c r="K8" s="309">
        <f>D36</f>
        <v>103.69340071046176</v>
      </c>
    </row>
    <row r="9" spans="1:13" x14ac:dyDescent="0.2">
      <c r="A9" s="94"/>
      <c r="B9" s="96"/>
      <c r="C9" s="94"/>
      <c r="D9" s="96"/>
      <c r="G9" s="131"/>
      <c r="I9" s="96"/>
    </row>
    <row r="10" spans="1:13" ht="15" x14ac:dyDescent="0.25">
      <c r="A10" s="138" t="str">
        <f>RES!D2</f>
        <v>INDCOA</v>
      </c>
      <c r="B10" s="112" t="str">
        <f>RES!D3</f>
        <v>Industry - Coal</v>
      </c>
      <c r="C10" s="111"/>
      <c r="D10" s="112"/>
      <c r="E10" s="113"/>
      <c r="F10" s="132"/>
      <c r="G10" s="114"/>
      <c r="H10" s="111" t="str">
        <f>C4</f>
        <v>IPGMME-E</v>
      </c>
      <c r="I10" s="111" t="str">
        <f>D4</f>
        <v>Industry - PGMs - Mine and refine - existing</v>
      </c>
      <c r="J10" s="113" t="s">
        <v>117</v>
      </c>
      <c r="K10" s="139">
        <f>D20</f>
        <v>3.9478462800501317</v>
      </c>
      <c r="L10" s="114"/>
      <c r="M10" s="92"/>
    </row>
    <row r="11" spans="1:13" ht="15" x14ac:dyDescent="0.25">
      <c r="A11" s="138" t="str">
        <f>RES!E2</f>
        <v>INFELC</v>
      </c>
      <c r="B11" s="112" t="str">
        <f>RES!E3</f>
        <v>Industry - NonFerrous - Electricity</v>
      </c>
      <c r="C11" s="104"/>
      <c r="D11" s="98"/>
      <c r="E11" s="110"/>
      <c r="F11" s="135"/>
      <c r="G11" s="99"/>
      <c r="H11" s="104" t="str">
        <f>RES!M9</f>
        <v>IPGMME-E</v>
      </c>
      <c r="I11" s="98" t="str">
        <f>RES!M5</f>
        <v>Industry - PGMs - Mine and refine - existing</v>
      </c>
      <c r="J11" s="110" t="s">
        <v>117</v>
      </c>
      <c r="K11" s="139">
        <f>D21</f>
        <v>39.297699837949885</v>
      </c>
      <c r="L11" s="117"/>
    </row>
    <row r="12" spans="1:13" ht="15" x14ac:dyDescent="0.25">
      <c r="A12" s="138" t="str">
        <f>RES!F2</f>
        <v>INDODS</v>
      </c>
      <c r="B12" s="112" t="str">
        <f>RES!F3</f>
        <v>Industry - Diesel</v>
      </c>
      <c r="C12" s="100"/>
      <c r="D12" s="101"/>
      <c r="E12" s="101"/>
      <c r="F12" s="101"/>
      <c r="G12" s="102"/>
      <c r="H12" s="100" t="str">
        <f>H10</f>
        <v>IPGMME-E</v>
      </c>
      <c r="I12" s="101" t="str">
        <f>I10</f>
        <v>Industry - PGMs - Mine and refine - existing</v>
      </c>
      <c r="J12" s="108" t="s">
        <v>117</v>
      </c>
      <c r="K12" s="139">
        <f>D23</f>
        <v>4.5246489747494749</v>
      </c>
      <c r="L12" s="102"/>
      <c r="M12" s="92"/>
    </row>
    <row r="13" spans="1:13" ht="15" x14ac:dyDescent="0.25">
      <c r="A13" s="138" t="str">
        <f>RES!G2</f>
        <v>INFGAS</v>
      </c>
      <c r="B13" s="112" t="str">
        <f>RES!G3</f>
        <v>Industry - NonFerrous - Gas</v>
      </c>
      <c r="C13" s="96"/>
      <c r="D13" s="96"/>
      <c r="E13" s="96"/>
      <c r="F13" s="96"/>
      <c r="G13" s="149"/>
      <c r="H13" s="100" t="str">
        <f>H11</f>
        <v>IPGMME-E</v>
      </c>
      <c r="I13" s="101" t="str">
        <f>I11</f>
        <v>Industry - PGMs - Mine and refine - existing</v>
      </c>
      <c r="J13" s="108" t="s">
        <v>117</v>
      </c>
      <c r="K13" s="150">
        <f>D22</f>
        <v>0.26574693623601153</v>
      </c>
      <c r="L13" s="96"/>
      <c r="M13" s="92"/>
    </row>
    <row r="14" spans="1:13" x14ac:dyDescent="0.2">
      <c r="C14" s="98"/>
      <c r="D14" s="98"/>
      <c r="E14" s="98"/>
      <c r="F14" s="143"/>
      <c r="G14" s="99"/>
      <c r="H14" s="104"/>
      <c r="I14" s="98"/>
      <c r="K14" s="98"/>
      <c r="L14" s="98"/>
      <c r="M14" s="92"/>
    </row>
    <row r="15" spans="1:13" x14ac:dyDescent="0.2">
      <c r="E15" s="140"/>
      <c r="M15" s="92"/>
    </row>
    <row r="17" spans="2:32" x14ac:dyDescent="0.2">
      <c r="M17" s="92"/>
    </row>
    <row r="18" spans="2:32" x14ac:dyDescent="0.2">
      <c r="B18" s="1" t="s">
        <v>181</v>
      </c>
      <c r="G18" s="92" t="s">
        <v>584</v>
      </c>
    </row>
    <row r="19" spans="2:32" x14ac:dyDescent="0.2">
      <c r="C19" s="1">
        <v>2012</v>
      </c>
      <c r="D19" s="1">
        <v>2017</v>
      </c>
      <c r="G19" s="1">
        <v>2030</v>
      </c>
    </row>
    <row r="20" spans="2:32" x14ac:dyDescent="0.2">
      <c r="B20" t="s">
        <v>143</v>
      </c>
      <c r="D20" s="152">
        <f>'PGM methodology'!L52</f>
        <v>3.9478462800501317</v>
      </c>
      <c r="G20" s="152">
        <f>'PGM methodology'!O52</f>
        <v>3.9478462800501317</v>
      </c>
    </row>
    <row r="21" spans="2:32" x14ac:dyDescent="0.2">
      <c r="B21" t="s">
        <v>178</v>
      </c>
      <c r="D21" s="152">
        <f>'PGM methodology'!L50</f>
        <v>39.297699837949885</v>
      </c>
      <c r="G21" s="152">
        <f>'PGM methodology'!O50</f>
        <v>37.548388240547808</v>
      </c>
      <c r="M21" s="92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</row>
    <row r="22" spans="2:32" x14ac:dyDescent="0.2">
      <c r="B22" t="s">
        <v>179</v>
      </c>
      <c r="D22" s="152">
        <f>'PGM methodology'!L53</f>
        <v>0.26574693623601153</v>
      </c>
      <c r="G22" s="152">
        <f>'PGM methodology'!O53</f>
        <v>0.26574693623601153</v>
      </c>
    </row>
    <row r="23" spans="2:32" x14ac:dyDescent="0.2">
      <c r="B23" t="s">
        <v>180</v>
      </c>
      <c r="D23" s="152">
        <f>'PGM methodology'!L51</f>
        <v>4.5246489747494749</v>
      </c>
      <c r="E23" s="92" t="s">
        <v>449</v>
      </c>
      <c r="G23" s="152">
        <f>'PGM methodology'!O51</f>
        <v>4.5246489747494749</v>
      </c>
      <c r="M23" s="92"/>
    </row>
    <row r="24" spans="2:32" x14ac:dyDescent="0.2">
      <c r="D24" s="152">
        <f>SUM(D20:D23)</f>
        <v>48.035942028985502</v>
      </c>
      <c r="G24" s="152">
        <f>'PGM methodology'!O56</f>
        <v>0</v>
      </c>
    </row>
    <row r="25" spans="2:32" x14ac:dyDescent="0.2">
      <c r="M25" s="92"/>
    </row>
    <row r="26" spans="2:32" ht="15" customHeight="1" x14ac:dyDescent="0.2">
      <c r="B26" s="1" t="s">
        <v>571</v>
      </c>
      <c r="M26" s="92"/>
    </row>
    <row r="27" spans="2:32" x14ac:dyDescent="0.2">
      <c r="C27" s="1">
        <v>2012</v>
      </c>
      <c r="D27" s="1">
        <v>2017</v>
      </c>
      <c r="E27" s="152"/>
      <c r="M27" s="92"/>
    </row>
    <row r="28" spans="2:32" x14ac:dyDescent="0.2">
      <c r="B28" s="92" t="s">
        <v>461</v>
      </c>
      <c r="D28" s="142">
        <f>'PGM methodology'!L4</f>
        <v>260</v>
      </c>
      <c r="E28" s="152"/>
      <c r="G28" s="142">
        <f>D28</f>
        <v>260</v>
      </c>
      <c r="M28" s="92"/>
    </row>
    <row r="29" spans="2:32" x14ac:dyDescent="0.2">
      <c r="B29" s="92" t="s">
        <v>184</v>
      </c>
      <c r="D29" s="309">
        <f>'PGM methodology'!L12</f>
        <v>156.30659928953824</v>
      </c>
      <c r="E29" s="152"/>
      <c r="M29" s="92"/>
    </row>
    <row r="30" spans="2:32" x14ac:dyDescent="0.2">
      <c r="B30" s="92" t="s">
        <v>544</v>
      </c>
      <c r="D30" s="309">
        <f>'PGM methodology'!L13</f>
        <v>103.69340071046176</v>
      </c>
      <c r="E30" s="152"/>
      <c r="M30" s="92"/>
    </row>
    <row r="31" spans="2:32" x14ac:dyDescent="0.2">
      <c r="M31" s="92"/>
    </row>
    <row r="32" spans="2:32" x14ac:dyDescent="0.2">
      <c r="M32" s="92"/>
    </row>
    <row r="33" spans="2:13" x14ac:dyDescent="0.2">
      <c r="B33" s="1" t="s">
        <v>570</v>
      </c>
      <c r="M33" s="92"/>
    </row>
    <row r="34" spans="2:13" x14ac:dyDescent="0.2">
      <c r="B34" s="92" t="s">
        <v>572</v>
      </c>
      <c r="D34" s="309">
        <f>'PGM methodology'!L22</f>
        <v>31</v>
      </c>
      <c r="M34" s="92"/>
    </row>
    <row r="35" spans="2:13" x14ac:dyDescent="0.2">
      <c r="B35" s="92" t="s">
        <v>573</v>
      </c>
      <c r="D35" s="309">
        <f>'PGM methodology'!L23</f>
        <v>125.30659928953824</v>
      </c>
      <c r="M35" s="92"/>
    </row>
    <row r="36" spans="2:13" x14ac:dyDescent="0.2">
      <c r="B36" s="92" t="s">
        <v>574</v>
      </c>
      <c r="D36" s="309">
        <f>'PGM methodology'!L24</f>
        <v>103.69340071046176</v>
      </c>
      <c r="M36" s="92"/>
    </row>
    <row r="37" spans="2:13" x14ac:dyDescent="0.2">
      <c r="M37" s="92"/>
    </row>
    <row r="38" spans="2:13" x14ac:dyDescent="0.2">
      <c r="M38" s="92"/>
    </row>
    <row r="39" spans="2:13" x14ac:dyDescent="0.2">
      <c r="M39" s="92"/>
    </row>
    <row r="40" spans="2:13" x14ac:dyDescent="0.2">
      <c r="M40" s="92"/>
    </row>
    <row r="41" spans="2:13" x14ac:dyDescent="0.2">
      <c r="M41" s="92"/>
    </row>
    <row r="42" spans="2:13" x14ac:dyDescent="0.2">
      <c r="M42" s="92"/>
    </row>
    <row r="43" spans="2:13" x14ac:dyDescent="0.2">
      <c r="M43" s="92"/>
    </row>
    <row r="44" spans="2:13" x14ac:dyDescent="0.2">
      <c r="M44" s="92"/>
    </row>
    <row r="45" spans="2:13" x14ac:dyDescent="0.2">
      <c r="M45" s="92"/>
    </row>
    <row r="46" spans="2:13" x14ac:dyDescent="0.2">
      <c r="M46" s="92"/>
    </row>
    <row r="47" spans="2:13" x14ac:dyDescent="0.2">
      <c r="M47" s="92"/>
    </row>
    <row r="48" spans="2:13" x14ac:dyDescent="0.2">
      <c r="M48" s="92"/>
    </row>
    <row r="49" spans="6:13" x14ac:dyDescent="0.2">
      <c r="M49" s="92"/>
    </row>
    <row r="50" spans="6:13" x14ac:dyDescent="0.2">
      <c r="M50" s="92"/>
    </row>
    <row r="51" spans="6:13" x14ac:dyDescent="0.2">
      <c r="M51" s="92"/>
    </row>
    <row r="52" spans="6:13" x14ac:dyDescent="0.2">
      <c r="M52" s="92"/>
    </row>
    <row r="53" spans="6:13" x14ac:dyDescent="0.2">
      <c r="M53" s="92"/>
    </row>
    <row r="54" spans="6:13" x14ac:dyDescent="0.2">
      <c r="M54" s="92"/>
    </row>
    <row r="55" spans="6:13" x14ac:dyDescent="0.2">
      <c r="M55" s="92"/>
    </row>
    <row r="56" spans="6:13" x14ac:dyDescent="0.2">
      <c r="M56" s="92"/>
    </row>
    <row r="57" spans="6:13" x14ac:dyDescent="0.2">
      <c r="M57" s="92"/>
    </row>
    <row r="58" spans="6:13" x14ac:dyDescent="0.2">
      <c r="M58" s="92"/>
    </row>
    <row r="59" spans="6:13" x14ac:dyDescent="0.2">
      <c r="M59" s="92"/>
    </row>
    <row r="60" spans="6:13" x14ac:dyDescent="0.2">
      <c r="M60" s="92"/>
    </row>
    <row r="61" spans="6:13" x14ac:dyDescent="0.2">
      <c r="F61" s="142"/>
      <c r="I61" s="142"/>
      <c r="J61" s="142"/>
      <c r="K61" s="142"/>
    </row>
    <row r="62" spans="6:13" x14ac:dyDescent="0.2">
      <c r="F62" s="142"/>
      <c r="I62" s="142"/>
      <c r="J62" s="142"/>
      <c r="K62" s="142"/>
    </row>
    <row r="63" spans="6:13" x14ac:dyDescent="0.2">
      <c r="F63" s="142"/>
      <c r="I63" s="142"/>
      <c r="J63" s="142"/>
      <c r="K63" s="142"/>
    </row>
    <row r="64" spans="6:13" x14ac:dyDescent="0.2">
      <c r="F64" s="142"/>
      <c r="I64" s="142"/>
      <c r="J64" s="142"/>
      <c r="K64" s="142"/>
    </row>
    <row r="66" spans="9:11" x14ac:dyDescent="0.2">
      <c r="I66" s="142"/>
      <c r="J66" s="142"/>
      <c r="K66" s="14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0"/>
  <sheetViews>
    <sheetView tabSelected="1" workbookViewId="0">
      <selection activeCell="E13" sqref="E13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INDCOA</v>
      </c>
      <c r="C9" s="48" t="str">
        <f>RES!D3</f>
        <v>Industry - Coal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INFELC</v>
      </c>
      <c r="C10" s="48" t="str">
        <f>RES!E3</f>
        <v>Industry - NonFerrous - Electricity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INDODS</v>
      </c>
      <c r="C11" s="48" t="str">
        <f>RES!F3</f>
        <v>Industry - Diesel</v>
      </c>
      <c r="D11" s="54" t="s">
        <v>117</v>
      </c>
      <c r="E11" s="31" t="s">
        <v>120</v>
      </c>
    </row>
    <row r="12" spans="1:6" s="18" customFormat="1" ht="12.75" x14ac:dyDescent="0.2">
      <c r="A12" s="48" t="s">
        <v>92</v>
      </c>
      <c r="B12" s="48" t="str">
        <f>RES!G2</f>
        <v>INFGAS</v>
      </c>
      <c r="C12" s="48" t="str">
        <f>RES!G3</f>
        <v>Industry - NonFerrous - Gas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IPGM</v>
      </c>
      <c r="C13" s="48" t="str">
        <f>RES!O3</f>
        <v>Industry - PGMs - Platinum</v>
      </c>
      <c r="D13" s="54" t="s">
        <v>117</v>
      </c>
      <c r="E13" s="31" t="s">
        <v>120</v>
      </c>
    </row>
    <row r="14" spans="1:6" s="18" customFormat="1" ht="12.75" x14ac:dyDescent="0.2">
      <c r="A14" s="48"/>
      <c r="B14" s="48" t="str">
        <f>RES!P2</f>
        <v>IPGMOP</v>
      </c>
      <c r="C14" s="48" t="str">
        <f>RES!P3</f>
        <v>Industry - PGMs - Other PGMs</v>
      </c>
      <c r="D14" s="54" t="s">
        <v>117</v>
      </c>
      <c r="E14" s="31" t="s">
        <v>120</v>
      </c>
    </row>
    <row r="15" spans="1:6" s="18" customFormat="1" ht="12.75" x14ac:dyDescent="0.2">
      <c r="A15" s="48"/>
      <c r="B15" s="48" t="str">
        <f>RES!W2</f>
        <v>IPGMD</v>
      </c>
      <c r="C15" s="48" t="str">
        <f>RES!W3</f>
        <v>Industry - demand for PGMS - Pt</v>
      </c>
      <c r="D15" s="54" t="s">
        <v>117</v>
      </c>
      <c r="E15" s="31" t="s">
        <v>581</v>
      </c>
    </row>
    <row r="16" spans="1:6" s="18" customFormat="1" ht="12.75" x14ac:dyDescent="0.2">
      <c r="A16" s="48"/>
      <c r="B16" s="48" t="s">
        <v>582</v>
      </c>
      <c r="C16" s="48" t="s">
        <v>583</v>
      </c>
      <c r="D16" s="54" t="s">
        <v>117</v>
      </c>
      <c r="E16" s="31" t="s">
        <v>120</v>
      </c>
    </row>
    <row r="17" spans="1:5" ht="12.75" x14ac:dyDescent="0.2">
      <c r="A17" s="55" t="s">
        <v>116</v>
      </c>
      <c r="B17" s="48"/>
      <c r="C17" s="48"/>
      <c r="D17" s="54"/>
    </row>
    <row r="18" spans="1:5" ht="12.75" x14ac:dyDescent="0.2">
      <c r="A18" s="48" t="s">
        <v>92</v>
      </c>
      <c r="B18" s="48" t="s">
        <v>163</v>
      </c>
      <c r="C18" s="48" t="s">
        <v>164</v>
      </c>
      <c r="D18" s="54" t="s">
        <v>121</v>
      </c>
      <c r="E18" s="31" t="s">
        <v>122</v>
      </c>
    </row>
    <row r="19" spans="1:5" ht="12.75" x14ac:dyDescent="0.2">
      <c r="A19" s="48" t="s">
        <v>92</v>
      </c>
      <c r="B19" s="48" t="s">
        <v>165</v>
      </c>
      <c r="C19" s="48" t="s">
        <v>166</v>
      </c>
      <c r="D19" s="54" t="s">
        <v>121</v>
      </c>
      <c r="E19" s="31" t="s">
        <v>122</v>
      </c>
    </row>
    <row r="20" spans="1:5" ht="12.75" x14ac:dyDescent="0.2">
      <c r="A20" s="48"/>
      <c r="B20" s="48"/>
      <c r="C20" s="48"/>
      <c r="D20" s="54"/>
      <c r="E20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ANSv2-692-Home</vt:lpstr>
      <vt:lpstr>Issues outstanding</vt:lpstr>
      <vt:lpstr>Log</vt:lpstr>
      <vt:lpstr>Index</vt:lpstr>
      <vt:lpstr>RES</vt:lpstr>
      <vt:lpstr>EB_Exist</vt:lpstr>
      <vt:lpstr>Commodities_BASE</vt:lpstr>
      <vt:lpstr>CommData_BASE</vt:lpstr>
      <vt:lpstr>ProcData_PGM</vt:lpstr>
      <vt:lpstr>Processes_BASE</vt:lpstr>
      <vt:lpstr>ProcData_PGMexports</vt:lpstr>
      <vt:lpstr>PGM methodology</vt:lpstr>
      <vt:lpstr>Production of minerals</vt:lpstr>
      <vt:lpstr>Energy data</vt:lpstr>
      <vt:lpstr>Students report</vt:lpstr>
      <vt:lpstr>Mudd 2009 paper</vt:lpstr>
      <vt:lpstr>Sheet1</vt:lpstr>
      <vt:lpstr>Waterberg project</vt:lpstr>
      <vt:lpstr>Costs</vt:lpstr>
      <vt:lpstr>Students worksheet</vt:lpstr>
      <vt:lpstr>Minerals council report 2017</vt:lpstr>
      <vt:lpstr>Brunos EB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2021-10-20T07:18:25Z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