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B888E3125F2D\Mydata\D\Modelling Group\_03_SECTORS\+FUELS\Oil &amp; Gas\SASOL\"/>
    </mc:Choice>
  </mc:AlternateContent>
  <xr:revisionPtr revIDLastSave="0" documentId="13_ncr:1_{2F0FC50A-D3E0-4973-9B8B-E7B1212C7735}" xr6:coauthVersionLast="45" xr6:coauthVersionMax="45" xr10:uidLastSave="{00000000-0000-0000-0000-000000000000}"/>
  <bookViews>
    <workbookView xWindow="-14610" yWindow="-16380" windowWidth="29040" windowHeight="15840" xr2:uid="{00000000-000D-0000-FFFF-FFFF00000000}"/>
  </bookViews>
  <sheets>
    <sheet name="SASOL NIR 2017" sheetId="9" r:id="rId1"/>
    <sheet name="SASOL Commodities" sheetId="1" r:id="rId2"/>
    <sheet name="NERSA2017" sheetId="3" r:id="rId3"/>
    <sheet name="GAS 2000-2029 CY" sheetId="4" r:id="rId4"/>
    <sheet name="SASOL CC 2019 report" sheetId="8" r:id="rId5"/>
    <sheet name="FTS-Unallocated" sheetId="10" r:id="rId6"/>
    <sheet name="Secunda Emissions 2019 etc" sheetId="2" r:id="rId7"/>
    <sheet name="Calorific values" sheetId="7" r:id="rId8"/>
  </sheets>
  <definedNames>
    <definedName name="__FDS_HYPERLINK_TOGGLE_STATE__" hidden="1">"ON"</definedName>
    <definedName name="_AMO_RefreshMultipleList" hidden="1">"'296899469 426988102 362274166 589584065 285770244'"</definedName>
    <definedName name="_AMO_SingleObject_296899469__A1" localSheetId="7"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NERSA2017!$B$1:$P$135</definedName>
    <definedName name="CV_AvGas">'Calorific values'!$B$15</definedName>
    <definedName name="CV_Bagasse">'Calorific values'!$B$24</definedName>
    <definedName name="CV_BagasseDry">'Calorific values'!$B$25</definedName>
    <definedName name="CV_BagasseWet">'Calorific values'!$B$24</definedName>
    <definedName name="CV_Biomass">'Calorific values'!$B$26</definedName>
    <definedName name="CV_BlastFurnaceGas">'Calorific values'!$B$22</definedName>
    <definedName name="CV_Coal">'Calorific values'!$B$18</definedName>
    <definedName name="CV_CoalCokg">'Calorific values'!$B$19</definedName>
    <definedName name="CV_CoalCoking">'Calorific values'!$B$19</definedName>
    <definedName name="CV_CoalEskAve">'Calorific values'!$B$17</definedName>
    <definedName name="CV_CoalGenrl">'Calorific values'!$B$18</definedName>
    <definedName name="CV_Coke">'Calorific values'!$B$20</definedName>
    <definedName name="CV_CokeOvenGas">'Calorific values'!$B$21</definedName>
    <definedName name="CV_Diesel">'Calorific values'!$B$9</definedName>
    <definedName name="CV_Elec">'Calorific values'!$B$10</definedName>
    <definedName name="CV_GasSASOL">'Calorific values'!$B$8</definedName>
    <definedName name="CV_GasSASOLMeth">'Calorific values'!$B$28</definedName>
    <definedName name="CV_HFO">'Calorific values'!$B$12</definedName>
    <definedName name="CV_JetFuel">'Calorific values'!$B$16</definedName>
    <definedName name="CV_LPG">'Calorific values'!$B$6</definedName>
    <definedName name="CV_NatGas">'Calorific values'!$B$11</definedName>
    <definedName name="CV_ParafIll">'Calorific values'!$B$14</definedName>
    <definedName name="CV_ParaIll">'Calorific values'!$B$14</definedName>
    <definedName name="CV_ParaPower">'Calorific values'!$B$7</definedName>
    <definedName name="CV_Petr">'Calorific values'!$B$13</definedName>
    <definedName name="gwpch4">'SASOL CC 2019 report'!$E$98</definedName>
    <definedName name="gwpn2o">'SASOL CC 2019 report'!$E$97</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G_cv">'Calorific values'!$B$6</definedName>
    <definedName name="Pal_Workbook_GUID" hidden="1">"E2D7SR7Q3BDXUD24G1M1SK63"</definedName>
    <definedName name="_xlnm.Print_Area" localSheetId="7">'Calorific values'!$A$1:$E$38</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2" i="9" l="1"/>
  <c r="I38" i="9"/>
  <c r="K34" i="9"/>
  <c r="K35" i="9"/>
  <c r="H34" i="9"/>
  <c r="H35" i="9"/>
  <c r="I32" i="9"/>
  <c r="L55" i="9"/>
  <c r="R59" i="2" l="1"/>
  <c r="R58" i="2"/>
  <c r="R57" i="2"/>
  <c r="R56" i="2"/>
  <c r="S48" i="2" l="1"/>
  <c r="S49" i="2"/>
  <c r="S50" i="2"/>
  <c r="K146" i="3" l="1"/>
  <c r="K145" i="3"/>
  <c r="AR17" i="1" l="1"/>
  <c r="AR19" i="1" s="1"/>
  <c r="AR14" i="1"/>
  <c r="AR13" i="1"/>
  <c r="I140" i="3"/>
  <c r="I138" i="3"/>
  <c r="S41" i="4" l="1"/>
  <c r="F14" i="1"/>
  <c r="I9" i="7"/>
  <c r="J146" i="3" l="1"/>
  <c r="J145" i="3"/>
  <c r="G93" i="1" s="1"/>
  <c r="I146" i="3"/>
  <c r="I145" i="3"/>
  <c r="A58" i="1" l="1"/>
  <c r="A59" i="1"/>
  <c r="A60" i="1"/>
  <c r="A57" i="1"/>
  <c r="G58" i="4"/>
  <c r="H58" i="4"/>
  <c r="I58" i="4"/>
  <c r="J58" i="4"/>
  <c r="K58" i="4"/>
  <c r="L58" i="4"/>
  <c r="M58" i="4"/>
  <c r="N58" i="4"/>
  <c r="O58" i="4"/>
  <c r="P58" i="4"/>
  <c r="Q58" i="4"/>
  <c r="R58" i="4"/>
  <c r="S58" i="4"/>
  <c r="T58" i="4"/>
  <c r="U58" i="4"/>
  <c r="V58" i="4"/>
  <c r="W58" i="4"/>
  <c r="X58" i="4"/>
  <c r="Y58" i="4"/>
  <c r="Z58" i="4"/>
  <c r="AA58" i="4"/>
  <c r="AB58" i="4"/>
  <c r="AC58" i="4"/>
  <c r="AD58" i="4"/>
  <c r="AE58" i="4"/>
  <c r="F58" i="4"/>
  <c r="S53" i="4"/>
  <c r="S55" i="4"/>
  <c r="C51" i="10" l="1"/>
  <c r="G47" i="10"/>
  <c r="F47" i="10"/>
  <c r="E47" i="10" s="1"/>
  <c r="G45" i="10"/>
  <c r="F45" i="10" s="1"/>
  <c r="E45" i="10" s="1"/>
  <c r="G44" i="10"/>
  <c r="E44" i="10" s="1"/>
  <c r="G43" i="10"/>
  <c r="F43" i="10" s="1"/>
  <c r="G41" i="10"/>
  <c r="F41" i="10" s="1"/>
  <c r="E41" i="10" s="1"/>
  <c r="F40" i="10"/>
  <c r="F39" i="10"/>
  <c r="F38" i="10"/>
  <c r="E38" i="10" s="1"/>
  <c r="F37" i="10"/>
  <c r="E37" i="10" s="1"/>
  <c r="G36" i="10"/>
  <c r="F36" i="10" s="1"/>
  <c r="E36" i="10" s="1"/>
  <c r="F35" i="10"/>
  <c r="E35" i="10" s="1"/>
  <c r="G34" i="10"/>
  <c r="F34" i="10"/>
  <c r="F33" i="10"/>
  <c r="F29" i="10"/>
  <c r="E28" i="10"/>
  <c r="G27" i="10"/>
  <c r="F27" i="10" s="1"/>
  <c r="E27" i="10" s="1"/>
  <c r="G24" i="10"/>
  <c r="F24" i="10"/>
  <c r="E24" i="10" s="1"/>
  <c r="G21" i="10"/>
  <c r="F21" i="10"/>
  <c r="F20" i="10"/>
  <c r="F19" i="10"/>
  <c r="E19" i="10" s="1"/>
  <c r="J19" i="10" s="1"/>
  <c r="F17" i="10"/>
  <c r="E17" i="10"/>
  <c r="J17" i="10" s="1"/>
  <c r="F16" i="10"/>
  <c r="G15" i="10"/>
  <c r="F15" i="10" s="1"/>
  <c r="E15" i="10" s="1"/>
  <c r="J15" i="10" s="1"/>
  <c r="F14" i="10"/>
  <c r="F13" i="10"/>
  <c r="F12" i="10"/>
  <c r="F11" i="10"/>
  <c r="E11" i="10" s="1"/>
  <c r="J11" i="10" s="1"/>
  <c r="F10" i="10"/>
  <c r="E10" i="10"/>
  <c r="J10" i="10" s="1"/>
  <c r="F9" i="10"/>
  <c r="F8" i="10"/>
  <c r="E8" i="10" s="1"/>
  <c r="J8" i="10" s="1"/>
  <c r="F7" i="10"/>
  <c r="F6" i="10"/>
  <c r="F5" i="10"/>
  <c r="F4" i="10"/>
  <c r="E13" i="10" s="1"/>
  <c r="J13" i="10" s="1"/>
  <c r="U11" i="9"/>
  <c r="D35" i="1"/>
  <c r="U12" i="9"/>
  <c r="L35" i="9"/>
  <c r="I35" i="9"/>
  <c r="F35" i="9"/>
  <c r="L34" i="9"/>
  <c r="I34" i="9"/>
  <c r="F34" i="9"/>
  <c r="L33" i="9"/>
  <c r="K33" i="9" s="1"/>
  <c r="I33" i="9"/>
  <c r="H33" i="9" s="1"/>
  <c r="F33" i="9"/>
  <c r="L32" i="9"/>
  <c r="F32" i="9"/>
  <c r="D33" i="9"/>
  <c r="Q28" i="9"/>
  <c r="Q27" i="9"/>
  <c r="Q26" i="9"/>
  <c r="Q25" i="9"/>
  <c r="Q24" i="9"/>
  <c r="Q23" i="9"/>
  <c r="Q22" i="9"/>
  <c r="Q21" i="9"/>
  <c r="Q20" i="9"/>
  <c r="Q19" i="9"/>
  <c r="Q18" i="9"/>
  <c r="Q17" i="9"/>
  <c r="U16" i="9"/>
  <c r="Q16" i="9"/>
  <c r="Q15" i="9"/>
  <c r="Q14" i="9"/>
  <c r="Q13" i="9"/>
  <c r="Q12" i="9"/>
  <c r="Q11" i="9"/>
  <c r="Q10" i="9"/>
  <c r="D94" i="8"/>
  <c r="D93" i="8"/>
  <c r="M92" i="8"/>
  <c r="D92" i="8"/>
  <c r="D91" i="8"/>
  <c r="D90" i="8"/>
  <c r="D89" i="8"/>
  <c r="D88" i="8"/>
  <c r="D87" i="8"/>
  <c r="G86" i="8"/>
  <c r="F86" i="8"/>
  <c r="E86" i="8"/>
  <c r="D86" i="8"/>
  <c r="G83" i="8"/>
  <c r="F83" i="8"/>
  <c r="E83" i="8"/>
  <c r="D83" i="8"/>
  <c r="M40" i="8"/>
  <c r="L40" i="8"/>
  <c r="K40" i="8"/>
  <c r="J40" i="8"/>
  <c r="M39" i="8"/>
  <c r="L39" i="8"/>
  <c r="K39" i="8"/>
  <c r="J39" i="8"/>
  <c r="M38" i="8"/>
  <c r="L38" i="8"/>
  <c r="K38" i="8"/>
  <c r="J38" i="8"/>
  <c r="M37" i="8"/>
  <c r="L37" i="8"/>
  <c r="K37" i="8"/>
  <c r="J37" i="8"/>
  <c r="M36" i="8"/>
  <c r="L36" i="8"/>
  <c r="K36" i="8"/>
  <c r="J36" i="8"/>
  <c r="M35" i="8"/>
  <c r="L35" i="8"/>
  <c r="K35" i="8"/>
  <c r="J35" i="8"/>
  <c r="M34" i="8"/>
  <c r="L34" i="8"/>
  <c r="K34" i="8"/>
  <c r="J34" i="8"/>
  <c r="M33" i="8"/>
  <c r="L33" i="8"/>
  <c r="K33" i="8"/>
  <c r="J33" i="8"/>
  <c r="M32" i="8"/>
  <c r="L32" i="8"/>
  <c r="K32" i="8"/>
  <c r="J32" i="8"/>
  <c r="M31" i="8"/>
  <c r="L31" i="8"/>
  <c r="K31" i="8"/>
  <c r="J31" i="8"/>
  <c r="M30" i="8"/>
  <c r="L30" i="8"/>
  <c r="K30" i="8"/>
  <c r="J30" i="8"/>
  <c r="M29" i="8"/>
  <c r="L29" i="8"/>
  <c r="K29" i="8"/>
  <c r="J29" i="8"/>
  <c r="M28" i="8"/>
  <c r="L28" i="8"/>
  <c r="K28" i="8"/>
  <c r="J28" i="8"/>
  <c r="M27" i="8"/>
  <c r="L27" i="8"/>
  <c r="K27" i="8"/>
  <c r="J27" i="8"/>
  <c r="M26" i="8"/>
  <c r="L26" i="8"/>
  <c r="K26" i="8"/>
  <c r="J26" i="8"/>
  <c r="M25" i="8"/>
  <c r="L25" i="8"/>
  <c r="K25" i="8"/>
  <c r="J25" i="8"/>
  <c r="M24" i="8"/>
  <c r="L24" i="8"/>
  <c r="K24" i="8"/>
  <c r="J24" i="8"/>
  <c r="M23" i="8"/>
  <c r="L23" i="8"/>
  <c r="K23" i="8"/>
  <c r="J23" i="8"/>
  <c r="M22" i="8"/>
  <c r="M94" i="8" s="1"/>
  <c r="L22" i="8"/>
  <c r="L94" i="8" s="1"/>
  <c r="K22" i="8"/>
  <c r="K94" i="8" s="1"/>
  <c r="J22" i="8"/>
  <c r="J94" i="8" s="1"/>
  <c r="M21" i="8"/>
  <c r="M93" i="8" s="1"/>
  <c r="L21" i="8"/>
  <c r="L93" i="8" s="1"/>
  <c r="K21" i="8"/>
  <c r="K93" i="8" s="1"/>
  <c r="J21" i="8"/>
  <c r="J93" i="8" s="1"/>
  <c r="M20" i="8"/>
  <c r="L20" i="8"/>
  <c r="L92" i="8" s="1"/>
  <c r="K20" i="8"/>
  <c r="K92" i="8" s="1"/>
  <c r="J20" i="8"/>
  <c r="J92" i="8" s="1"/>
  <c r="M19" i="8"/>
  <c r="M91" i="8" s="1"/>
  <c r="L19" i="8"/>
  <c r="L91" i="8" s="1"/>
  <c r="K19" i="8"/>
  <c r="K91" i="8" s="1"/>
  <c r="J19" i="8"/>
  <c r="J91" i="8" s="1"/>
  <c r="M18" i="8"/>
  <c r="M45" i="8" s="1"/>
  <c r="L18" i="8"/>
  <c r="L45" i="8" s="1"/>
  <c r="K18" i="8"/>
  <c r="K90" i="8" s="1"/>
  <c r="J18" i="8"/>
  <c r="J90" i="8" s="1"/>
  <c r="M17" i="8"/>
  <c r="M89" i="8" s="1"/>
  <c r="L17" i="8"/>
  <c r="L89" i="8" s="1"/>
  <c r="K17" i="8"/>
  <c r="K89" i="8" s="1"/>
  <c r="J17" i="8"/>
  <c r="J89" i="8" s="1"/>
  <c r="M16" i="8"/>
  <c r="M88" i="8" s="1"/>
  <c r="L16" i="8"/>
  <c r="L88" i="8" s="1"/>
  <c r="K16" i="8"/>
  <c r="K43" i="8" s="1"/>
  <c r="J16" i="8"/>
  <c r="J43" i="8" s="1"/>
  <c r="M15" i="8"/>
  <c r="M42" i="8" s="1"/>
  <c r="L15" i="8"/>
  <c r="L42" i="8" s="1"/>
  <c r="K15" i="8"/>
  <c r="K87" i="8" s="1"/>
  <c r="J15" i="8"/>
  <c r="J87" i="8" s="1"/>
  <c r="M14" i="8"/>
  <c r="M86" i="8" s="1"/>
  <c r="L14" i="8"/>
  <c r="L86" i="8" s="1"/>
  <c r="K14" i="8"/>
  <c r="K86" i="8" s="1"/>
  <c r="J14" i="8"/>
  <c r="J86" i="8" s="1"/>
  <c r="S47" i="4"/>
  <c r="S46" i="4"/>
  <c r="S45" i="4"/>
  <c r="S42" i="4"/>
  <c r="S39" i="4"/>
  <c r="S38" i="4"/>
  <c r="D28" i="1"/>
  <c r="I37" i="9" l="1"/>
  <c r="L37" i="9"/>
  <c r="K32" i="9"/>
  <c r="L38" i="9" s="1"/>
  <c r="F37" i="9"/>
  <c r="F38" i="9"/>
  <c r="J42" i="8"/>
  <c r="L43" i="8"/>
  <c r="J45" i="8"/>
  <c r="J88" i="8"/>
  <c r="E6" i="10"/>
  <c r="J6" i="10" s="1"/>
  <c r="E5" i="10"/>
  <c r="J5" i="10" s="1"/>
  <c r="E7" i="10"/>
  <c r="J7" i="10" s="1"/>
  <c r="E22" i="10"/>
  <c r="J22" i="10" s="1"/>
  <c r="E43" i="10"/>
  <c r="E12" i="10"/>
  <c r="J12" i="10" s="1"/>
  <c r="E33" i="10"/>
  <c r="E46" i="10"/>
  <c r="E4" i="10"/>
  <c r="J4" i="10" s="1"/>
  <c r="E18" i="10"/>
  <c r="J18" i="10" s="1"/>
  <c r="E31" i="10"/>
  <c r="E40" i="10"/>
  <c r="E20" i="10"/>
  <c r="J20" i="10" s="1"/>
  <c r="E30" i="10"/>
  <c r="E9" i="10"/>
  <c r="J9" i="10" s="1"/>
  <c r="E16" i="10"/>
  <c r="J16" i="10" s="1"/>
  <c r="E21" i="10"/>
  <c r="J21" i="10" s="1"/>
  <c r="E14" i="10"/>
  <c r="J14" i="10" s="1"/>
  <c r="E34" i="10"/>
  <c r="E39" i="10"/>
  <c r="E25" i="10"/>
  <c r="E29" i="10"/>
  <c r="L44" i="8"/>
  <c r="M44" i="8"/>
  <c r="K44" i="8"/>
  <c r="M43" i="8"/>
  <c r="L87" i="8"/>
  <c r="J44" i="8"/>
  <c r="M87" i="8"/>
  <c r="L90" i="8"/>
  <c r="K42" i="8"/>
  <c r="K45" i="8"/>
  <c r="M90" i="8"/>
  <c r="K88" i="8"/>
  <c r="F40" i="9" l="1"/>
  <c r="G41" i="9" s="1"/>
  <c r="E1" i="10"/>
  <c r="J1" i="10"/>
  <c r="K20" i="10" s="1"/>
  <c r="K22" i="10" l="1"/>
  <c r="K4" i="10"/>
  <c r="K8" i="10"/>
  <c r="K18" i="10"/>
  <c r="K6" i="10"/>
  <c r="K5" i="10"/>
  <c r="K15" i="10"/>
  <c r="K12" i="10"/>
  <c r="K17" i="10"/>
  <c r="K19" i="10"/>
  <c r="K11" i="10"/>
  <c r="K13" i="10"/>
  <c r="K7" i="10"/>
  <c r="K10" i="10"/>
  <c r="K14" i="10"/>
  <c r="K9" i="10"/>
  <c r="K21" i="10"/>
  <c r="K16" i="10"/>
  <c r="K23" i="10" l="1"/>
  <c r="A38" i="7" l="1"/>
  <c r="E16" i="7"/>
  <c r="E15" i="7"/>
  <c r="E14" i="7"/>
  <c r="E13" i="7"/>
  <c r="E12" i="7"/>
  <c r="E9" i="7"/>
  <c r="E7" i="7"/>
  <c r="E6" i="7"/>
  <c r="I151" i="3" l="1"/>
  <c r="I150" i="3"/>
  <c r="D51" i="1"/>
  <c r="D52" i="1"/>
  <c r="D50" i="1"/>
  <c r="B69" i="4"/>
  <c r="AE57" i="4"/>
  <c r="AD57" i="4"/>
  <c r="AC57" i="4"/>
  <c r="AB57" i="4"/>
  <c r="AA57" i="4"/>
  <c r="Z57" i="4"/>
  <c r="Y57" i="4"/>
  <c r="X57" i="4"/>
  <c r="W57" i="4"/>
  <c r="V57" i="4"/>
  <c r="U57" i="4"/>
  <c r="T57" i="4"/>
  <c r="S57" i="4"/>
  <c r="R57" i="4"/>
  <c r="Q57" i="4"/>
  <c r="P57" i="4"/>
  <c r="O57" i="4"/>
  <c r="N57" i="4"/>
  <c r="M57" i="4"/>
  <c r="L57" i="4"/>
  <c r="K57" i="4"/>
  <c r="J57" i="4"/>
  <c r="I57" i="4"/>
  <c r="H57" i="4"/>
  <c r="G57" i="4"/>
  <c r="F57" i="4"/>
  <c r="AE56" i="4"/>
  <c r="AD56" i="4"/>
  <c r="AC56" i="4"/>
  <c r="AB56" i="4"/>
  <c r="AA56" i="4"/>
  <c r="Z56" i="4"/>
  <c r="Y56" i="4"/>
  <c r="X56" i="4"/>
  <c r="W56" i="4"/>
  <c r="V56" i="4"/>
  <c r="U56" i="4"/>
  <c r="T56" i="4"/>
  <c r="S56" i="4"/>
  <c r="R56" i="4"/>
  <c r="Q56" i="4"/>
  <c r="P56" i="4"/>
  <c r="O56" i="4"/>
  <c r="N56" i="4"/>
  <c r="M56" i="4"/>
  <c r="L56" i="4"/>
  <c r="K56" i="4"/>
  <c r="J56" i="4"/>
  <c r="I56" i="4"/>
  <c r="H56" i="4"/>
  <c r="G56" i="4"/>
  <c r="F56" i="4"/>
  <c r="AE55" i="4"/>
  <c r="AD55" i="4"/>
  <c r="AC55" i="4"/>
  <c r="AB55" i="4"/>
  <c r="AA55" i="4"/>
  <c r="Z55" i="4"/>
  <c r="Y55" i="4"/>
  <c r="X55" i="4"/>
  <c r="W55" i="4"/>
  <c r="V55" i="4"/>
  <c r="U55" i="4"/>
  <c r="T55" i="4"/>
  <c r="R55" i="4"/>
  <c r="Q55" i="4"/>
  <c r="P55" i="4"/>
  <c r="O55" i="4"/>
  <c r="N55" i="4"/>
  <c r="M55" i="4"/>
  <c r="L55" i="4"/>
  <c r="K55" i="4"/>
  <c r="J55" i="4"/>
  <c r="I55" i="4"/>
  <c r="H55" i="4"/>
  <c r="G55" i="4"/>
  <c r="F55" i="4"/>
  <c r="AE54" i="4"/>
  <c r="AD54" i="4"/>
  <c r="AC54" i="4"/>
  <c r="AB54" i="4"/>
  <c r="AA54" i="4"/>
  <c r="Z54" i="4"/>
  <c r="Y54" i="4"/>
  <c r="X54" i="4"/>
  <c r="W54" i="4"/>
  <c r="V54" i="4"/>
  <c r="U54" i="4"/>
  <c r="T54" i="4"/>
  <c r="S54" i="4"/>
  <c r="R54" i="4"/>
  <c r="Q54" i="4"/>
  <c r="P54" i="4"/>
  <c r="O54" i="4"/>
  <c r="N54" i="4"/>
  <c r="M54" i="4"/>
  <c r="L54" i="4"/>
  <c r="K54" i="4"/>
  <c r="J54" i="4"/>
  <c r="I54" i="4"/>
  <c r="H54" i="4"/>
  <c r="G54" i="4"/>
  <c r="F54" i="4"/>
  <c r="AE53" i="4"/>
  <c r="AD53" i="4"/>
  <c r="AC53" i="4"/>
  <c r="AB53" i="4"/>
  <c r="AA53" i="4"/>
  <c r="Z53" i="4"/>
  <c r="Y53" i="4"/>
  <c r="X53" i="4"/>
  <c r="W53" i="4"/>
  <c r="V53" i="4"/>
  <c r="U53" i="4"/>
  <c r="T53" i="4"/>
  <c r="R53" i="4"/>
  <c r="Q53" i="4"/>
  <c r="P53" i="4"/>
  <c r="O53" i="4"/>
  <c r="N53" i="4"/>
  <c r="M53" i="4"/>
  <c r="L53" i="4"/>
  <c r="K53" i="4"/>
  <c r="J53" i="4"/>
  <c r="I53" i="4"/>
  <c r="H53" i="4"/>
  <c r="G53" i="4"/>
  <c r="F53" i="4"/>
  <c r="AE52" i="4"/>
  <c r="AD52" i="4"/>
  <c r="AC52" i="4"/>
  <c r="AB52" i="4"/>
  <c r="AA52" i="4"/>
  <c r="Z52" i="4"/>
  <c r="Y52" i="4"/>
  <c r="X52" i="4"/>
  <c r="W52" i="4"/>
  <c r="V52" i="4"/>
  <c r="U52" i="4"/>
  <c r="T52" i="4"/>
  <c r="S52" i="4"/>
  <c r="R52" i="4"/>
  <c r="Q52" i="4"/>
  <c r="P52" i="4"/>
  <c r="O52" i="4"/>
  <c r="N52" i="4"/>
  <c r="M52" i="4"/>
  <c r="L52" i="4"/>
  <c r="K52" i="4"/>
  <c r="J52" i="4"/>
  <c r="I52" i="4"/>
  <c r="H52" i="4"/>
  <c r="G52" i="4"/>
  <c r="F52" i="4"/>
  <c r="AE50" i="4"/>
  <c r="AD50" i="4"/>
  <c r="AC50" i="4"/>
  <c r="AB50" i="4"/>
  <c r="AA50" i="4"/>
  <c r="Z50" i="4"/>
  <c r="Y50" i="4"/>
  <c r="X50" i="4"/>
  <c r="W50" i="4"/>
  <c r="V50" i="4"/>
  <c r="U50" i="4"/>
  <c r="T50" i="4"/>
  <c r="S50" i="4"/>
  <c r="S61" i="4" s="1"/>
  <c r="D57" i="1" s="1"/>
  <c r="R50" i="4"/>
  <c r="Q50" i="4"/>
  <c r="P50" i="4"/>
  <c r="O50" i="4"/>
  <c r="N50" i="4"/>
  <c r="N62" i="4" s="1"/>
  <c r="C58" i="1" s="1"/>
  <c r="M50" i="4"/>
  <c r="L50" i="4"/>
  <c r="K50" i="4"/>
  <c r="J50" i="4"/>
  <c r="I50" i="4"/>
  <c r="H50" i="4"/>
  <c r="G50" i="4"/>
  <c r="F50" i="4"/>
  <c r="S49" i="4"/>
  <c r="C83" i="1" s="1"/>
  <c r="H146" i="3"/>
  <c r="F146" i="3"/>
  <c r="E146" i="3"/>
  <c r="D146" i="3"/>
  <c r="C146" i="3"/>
  <c r="B146" i="3"/>
  <c r="H145" i="3"/>
  <c r="F145" i="3"/>
  <c r="E145" i="3"/>
  <c r="D145" i="3"/>
  <c r="C145" i="3"/>
  <c r="B145" i="3"/>
  <c r="H144" i="3"/>
  <c r="F144" i="3"/>
  <c r="E144" i="3"/>
  <c r="D144" i="3"/>
  <c r="C144" i="3"/>
  <c r="B144" i="3"/>
  <c r="H143" i="3"/>
  <c r="F143" i="3"/>
  <c r="E143" i="3"/>
  <c r="D143" i="3"/>
  <c r="C143" i="3"/>
  <c r="B143" i="3"/>
  <c r="O138" i="3"/>
  <c r="N138" i="3"/>
  <c r="M138" i="3"/>
  <c r="L138" i="3"/>
  <c r="K138" i="3"/>
  <c r="K141" i="3" s="1"/>
  <c r="J138" i="3"/>
  <c r="H138" i="3"/>
  <c r="O135" i="3"/>
  <c r="H135" i="3"/>
  <c r="P109" i="3"/>
  <c r="P108" i="3"/>
  <c r="P91" i="3"/>
  <c r="P88" i="3"/>
  <c r="P87" i="3"/>
  <c r="P81" i="3"/>
  <c r="P50" i="3"/>
  <c r="P49" i="3"/>
  <c r="P48" i="3"/>
  <c r="P47" i="3"/>
  <c r="P27" i="3"/>
  <c r="P18" i="3"/>
  <c r="P17" i="3"/>
  <c r="P11" i="3"/>
  <c r="P7" i="3"/>
  <c r="F74" i="2"/>
  <c r="H74" i="2" s="1"/>
  <c r="F66" i="2"/>
  <c r="H66" i="2" s="1"/>
  <c r="F67" i="2"/>
  <c r="H67" i="2" s="1"/>
  <c r="F68" i="2"/>
  <c r="H68" i="2" s="1"/>
  <c r="L95" i="1" s="1"/>
  <c r="F65" i="2"/>
  <c r="H65" i="2" s="1"/>
  <c r="F85" i="1"/>
  <c r="F81" i="1"/>
  <c r="S62" i="4" l="1"/>
  <c r="D58" i="1" s="1"/>
  <c r="N63" i="4"/>
  <c r="C59" i="1" s="1"/>
  <c r="F93" i="1"/>
  <c r="G89" i="1"/>
  <c r="K95" i="1" s="1"/>
  <c r="S63" i="4"/>
  <c r="D59" i="1" s="1"/>
  <c r="N64" i="4"/>
  <c r="C60" i="1" s="1"/>
  <c r="S64" i="4"/>
  <c r="D60" i="1" s="1"/>
  <c r="H97" i="1" s="1"/>
  <c r="H101" i="1" s="1"/>
  <c r="N61" i="4"/>
  <c r="C57" i="1" s="1"/>
  <c r="H89" i="1" l="1"/>
  <c r="H93" i="1" s="1"/>
  <c r="F89" i="1"/>
  <c r="J95" i="1" s="1"/>
  <c r="D53" i="1" l="1"/>
  <c r="G101" i="1" l="1"/>
  <c r="F101" i="1" s="1"/>
  <c r="D63" i="1"/>
  <c r="D64" i="1" s="1"/>
  <c r="G97" i="1"/>
  <c r="C63" i="1"/>
  <c r="B80" i="1"/>
  <c r="B77" i="1"/>
  <c r="B74" i="1"/>
  <c r="C74" i="1" s="1"/>
  <c r="D40" i="1"/>
  <c r="G81" i="1" s="1"/>
  <c r="D36" i="1"/>
  <c r="F73" i="1" s="1"/>
  <c r="C10" i="1"/>
  <c r="K100" i="1" l="1"/>
  <c r="K91" i="1"/>
  <c r="D39" i="1"/>
  <c r="G73" i="1" s="1"/>
  <c r="F97" i="1"/>
  <c r="J91" i="1" s="1"/>
  <c r="D29" i="1"/>
  <c r="D30" i="1" s="1"/>
  <c r="D42" i="1" s="1"/>
  <c r="F77" i="1" s="1"/>
  <c r="J100" i="1" l="1"/>
  <c r="D43" i="1"/>
  <c r="D46" i="1" l="1"/>
  <c r="D47" i="1" s="1"/>
  <c r="G85" i="1" s="1"/>
  <c r="C11" i="1"/>
  <c r="C12" i="1"/>
  <c r="C13" i="1"/>
  <c r="C14" i="1"/>
  <c r="C15" i="1"/>
  <c r="G77"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17" authorId="0" shapeId="0" xr:uid="{F5136C5A-6B32-44F9-95CE-E8FE6095ED96}">
      <text>
        <r>
          <rPr>
            <b/>
            <sz val="9"/>
            <color indexed="81"/>
            <rFont val="Tahoma"/>
            <family val="2"/>
          </rPr>
          <t>Fadiel Ahjum:</t>
        </r>
        <r>
          <rPr>
            <sz val="9"/>
            <color indexed="81"/>
            <rFont val="Tahoma"/>
            <family val="2"/>
          </rPr>
          <t xml:space="preserve">
GAS split between sasolburg/secunda</t>
        </r>
      </text>
    </comment>
    <comment ref="A32" authorId="0" shapeId="0" xr:uid="{5FB38881-B19E-44B6-835C-1828FA75E087}">
      <text>
        <r>
          <rPr>
            <b/>
            <sz val="9"/>
            <color indexed="81"/>
            <rFont val="Tahoma"/>
            <family val="2"/>
          </rPr>
          <t>Fadiel Ahjum:</t>
        </r>
        <r>
          <rPr>
            <sz val="9"/>
            <color indexed="81"/>
            <rFont val="Tahoma"/>
            <family val="2"/>
          </rPr>
          <t xml:space="preserve">
Fuel Combustion Activities</t>
        </r>
      </text>
    </comment>
    <comment ref="A33" authorId="0" shapeId="0" xr:uid="{1E743ACA-88DA-474E-8B56-B5A75DC9EDE2}">
      <text>
        <r>
          <rPr>
            <b/>
            <sz val="9"/>
            <color indexed="81"/>
            <rFont val="Tahoma"/>
            <family val="2"/>
          </rPr>
          <t>Fadiel Ahjum:</t>
        </r>
        <r>
          <rPr>
            <sz val="9"/>
            <color indexed="81"/>
            <rFont val="Tahoma"/>
            <family val="2"/>
          </rPr>
          <t xml:space="preserve">
Fugitive Emissions from Fuels</t>
        </r>
      </text>
    </comment>
    <comment ref="A34" authorId="0" shapeId="0" xr:uid="{F732F21A-595A-43C9-8E7A-232519766B90}">
      <text>
        <r>
          <rPr>
            <b/>
            <sz val="9"/>
            <color indexed="81"/>
            <rFont val="Tahoma"/>
            <family val="2"/>
          </rPr>
          <t>Fadiel Ahjum:</t>
        </r>
        <r>
          <rPr>
            <sz val="9"/>
            <color indexed="81"/>
            <rFont val="Tahoma"/>
            <family val="2"/>
          </rPr>
          <t xml:space="preserve">
INDUSTRIAL PROCESSES AND PRODUCT
USE: Chemical Industry</t>
        </r>
      </text>
    </comment>
    <comment ref="A35" authorId="0" shapeId="0" xr:uid="{DD53E155-BF36-476C-B056-CB8EF565BE5C}">
      <text>
        <r>
          <rPr>
            <b/>
            <sz val="9"/>
            <color indexed="81"/>
            <rFont val="Tahoma"/>
            <family val="2"/>
          </rPr>
          <t>Fadiel Ahjum:</t>
        </r>
        <r>
          <rPr>
            <sz val="9"/>
            <color indexed="81"/>
            <rFont val="Tahoma"/>
            <family val="2"/>
          </rPr>
          <t xml:space="preserve">
WASTE: Wastewater Treatment and
Discharge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A14" authorId="0" shapeId="0" xr:uid="{13A049B5-86C5-4DE7-99C4-02F99A607D99}">
      <text>
        <r>
          <rPr>
            <b/>
            <sz val="9"/>
            <color indexed="81"/>
            <rFont val="Tahoma"/>
            <family val="2"/>
          </rPr>
          <t>Fadiel:</t>
        </r>
        <r>
          <rPr>
            <sz val="9"/>
            <color indexed="81"/>
            <rFont val="Tahoma"/>
            <family val="2"/>
          </rPr>
          <t xml:space="preserve">
Methane rich gas?</t>
        </r>
      </text>
    </comment>
    <comment ref="C32" authorId="1" shapeId="0" xr:uid="{00000000-0006-0000-0000-000006000000}">
      <text>
        <r>
          <rPr>
            <b/>
            <sz val="9"/>
            <color indexed="81"/>
            <rFont val="Tahoma"/>
            <family val="2"/>
          </rPr>
          <t>Fadiel Ahjum:</t>
        </r>
        <r>
          <rPr>
            <sz val="9"/>
            <color indexed="81"/>
            <rFont val="Tahoma"/>
            <family val="2"/>
          </rPr>
          <t xml:space="preserve">
DEA 2016 calculationofcountryspecificemissionfactors : Secunda Avg</t>
        </r>
      </text>
    </comment>
    <comment ref="J35" authorId="0" shapeId="0" xr:uid="{13832685-72B6-4194-A790-A32E59843D2C}">
      <text>
        <r>
          <rPr>
            <b/>
            <sz val="9"/>
            <color indexed="81"/>
            <rFont val="Tahoma"/>
            <family val="2"/>
          </rPr>
          <t xml:space="preserve">Fadiel: 140 - 180 MW
</t>
        </r>
        <r>
          <rPr>
            <sz val="9"/>
            <color indexed="81"/>
            <rFont val="Tahoma"/>
            <family val="2"/>
          </rPr>
          <t>https://www.sasol.com/media-centre/media-releases/south-africa-s-first-gas-fired-power-plant-fully-operational
WSP (2011)
10 Petajoules per annum (PJ/a).
The proposed GEPP will be developed in two phases. Phase 1 will entail an open cycle power plant with an output
capacity of approximately 180 megawatts (MW), while phase 2 entails conversion to a combined cycle (heat recovery)
that will generate an additional 20 MW. The plant will use several gas engines, with a natural gas consumption of
approximately 10 Petajoules per annum (PJ/a). The capacity of individual gas engine units will vary between 4 MW
and 10 MW per engine.</t>
        </r>
      </text>
    </comment>
    <comment ref="K35" authorId="0" shapeId="0" xr:uid="{CB845F37-EB17-449E-992D-9155688A3C3D}">
      <text>
        <r>
          <rPr>
            <b/>
            <sz val="9"/>
            <color indexed="81"/>
            <rFont val="Tahoma"/>
            <family val="2"/>
          </rPr>
          <t xml:space="preserve">Fadiel:W20V34SG
</t>
        </r>
        <r>
          <rPr>
            <sz val="9"/>
            <color indexed="81"/>
            <rFont val="Tahoma"/>
            <family val="2"/>
          </rPr>
          <t xml:space="preserve">Wärtsilä’s
W20V34SG GAS ENGINE
https://www.sasol.com/media-centre/media-releases/south-africa-s-first-gas-fired-power-plant-fully-operational
</t>
        </r>
      </text>
    </comment>
    <comment ref="L35" authorId="0" shapeId="0" xr:uid="{604E86BB-86B4-428E-BBF9-B83E9159CD7A}">
      <text>
        <r>
          <rPr>
            <b/>
            <sz val="9"/>
            <color indexed="81"/>
            <rFont val="Tahoma"/>
            <family val="2"/>
          </rPr>
          <t>Fadiel:</t>
        </r>
        <r>
          <rPr>
            <sz val="9"/>
            <color indexed="81"/>
            <rFont val="Tahoma"/>
            <family val="2"/>
          </rPr>
          <t xml:space="preserve">
J-PSundell 2011 </t>
        </r>
      </text>
    </comment>
    <comment ref="K38" authorId="0" shapeId="0" xr:uid="{5C1A556C-9DA6-4E02-B43A-90B3951B5FB5}">
      <text>
        <r>
          <rPr>
            <b/>
            <sz val="9"/>
            <color indexed="81"/>
            <rFont val="Tahoma"/>
            <family val="2"/>
          </rPr>
          <t>Fadiel: GE PG9171E</t>
        </r>
        <r>
          <rPr>
            <sz val="9"/>
            <color indexed="81"/>
            <rFont val="Tahoma"/>
            <family val="2"/>
          </rPr>
          <t xml:space="preserve">
http://sde.co.za/power-generation/
https://www.power-eng.com/2008/11/21/ge-sasol-sign-service-agreement-for-power-project/
</t>
        </r>
      </text>
    </comment>
    <comment ref="C50" authorId="0" shapeId="0" xr:uid="{00D56277-7250-4475-9412-8766DBED3DF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C51" authorId="0" shapeId="0" xr:uid="{08FD8641-7BC7-4059-93D7-C0065528408F}">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C52" authorId="0" shapeId="0" xr:uid="{E0C836D7-F5CF-43FA-8B4B-1C13BC060372}">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C56" authorId="0" shapeId="0" xr:uid="{5AF18639-01E0-42A3-A7C8-C259BBA11E70}">
      <text>
        <r>
          <rPr>
            <b/>
            <sz val="9"/>
            <color indexed="81"/>
            <rFont val="Tahoma"/>
            <family val="2"/>
          </rPr>
          <t>Fadiel:</t>
        </r>
        <r>
          <rPr>
            <sz val="9"/>
            <color indexed="81"/>
            <rFont val="Tahoma"/>
            <family val="2"/>
          </rPr>
          <t xml:space="preserve">
Actual shares.
Derek B (2013)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C91CCCB6-01EA-42CA-8978-B7413E96FE4A}">
      <text>
        <r>
          <rPr>
            <b/>
            <sz val="9"/>
            <color indexed="81"/>
            <rFont val="Tahoma"/>
            <family val="2"/>
          </rPr>
          <t>Fadiel:</t>
        </r>
        <r>
          <rPr>
            <sz val="9"/>
            <color indexed="81"/>
            <rFont val="Tahoma"/>
            <family val="2"/>
          </rPr>
          <t xml:space="preserve">
</t>
        </r>
      </text>
    </comment>
    <comment ref="S36" authorId="0" shapeId="0" xr:uid="{ECDBBBE1-4465-466E-90BD-9A82B9334EA5}">
      <text>
        <r>
          <rPr>
            <b/>
            <sz val="9"/>
            <color indexed="81"/>
            <rFont val="Tahoma"/>
            <family val="2"/>
          </rPr>
          <t>Fadiel:</t>
        </r>
        <r>
          <rPr>
            <sz val="9"/>
            <color indexed="81"/>
            <rFont val="Tahoma"/>
            <family val="2"/>
          </rPr>
          <t xml:space="preserve">
Sasol additional analyst handbook 31 Dec2018</t>
        </r>
      </text>
    </comment>
    <comment ref="A45" authorId="0" shapeId="0" xr:uid="{5EA3F009-F77C-4C5E-8BBE-ACD465788989}">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FE0EE1BD-30BF-4B92-82FD-CD243A775A69}">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59452CA9-D0AC-4DB8-B7CC-7C281ADA460E}">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79" authorId="0" shapeId="0" xr:uid="{AD441A93-EC8A-48A8-BF37-0258C1EFAA0B}">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0" authorId="0" shapeId="0" xr:uid="{67DFAF3C-DB1C-423B-9EB9-E9E055A2EBAA}">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1" authorId="0" shapeId="0" xr:uid="{3D45BB49-1630-4EC0-8284-3CF5A2E6FC5A}">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sharedStrings.xml><?xml version="1.0" encoding="utf-8"?>
<sst xmlns="http://schemas.openxmlformats.org/spreadsheetml/2006/main" count="1789" uniqueCount="805">
  <si>
    <r>
      <rPr>
        <b/>
        <sz val="12"/>
        <rFont val="Arial"/>
        <family val="2"/>
      </rPr>
      <t>Annexure 1: Sasol’s 2017 GHG submission to the national GHG reporting regulations</t>
    </r>
  </si>
  <si>
    <r>
      <rPr>
        <b/>
        <sz val="10"/>
        <rFont val="Arial"/>
        <family val="2"/>
      </rPr>
      <t>Name of data provider</t>
    </r>
  </si>
  <si>
    <r>
      <rPr>
        <sz val="10"/>
        <rFont val="Arial"/>
        <family val="2"/>
      </rPr>
      <t>Herman van der Walt / Shamini Harrington</t>
    </r>
  </si>
  <si>
    <r>
      <rPr>
        <b/>
        <sz val="10"/>
        <rFont val="Arial"/>
        <family val="2"/>
      </rPr>
      <t>Data provider identification</t>
    </r>
  </si>
  <si>
    <r>
      <rPr>
        <b/>
        <sz val="10"/>
        <rFont val="Arial"/>
        <family val="2"/>
      </rPr>
      <t>Date of submission</t>
    </r>
  </si>
  <si>
    <r>
      <rPr>
        <b/>
        <sz val="10"/>
        <rFont val="Arial"/>
        <family val="2"/>
      </rPr>
      <t>Year of data</t>
    </r>
  </si>
  <si>
    <r>
      <rPr>
        <sz val="10"/>
        <rFont val="Arial"/>
        <family val="2"/>
      </rPr>
      <t>2017 (January to December 2017)</t>
    </r>
  </si>
  <si>
    <r>
      <rPr>
        <b/>
        <sz val="10"/>
        <rFont val="Arial"/>
        <family val="2"/>
      </rPr>
      <t xml:space="preserve">Comments: </t>
    </r>
    <r>
      <rPr>
        <sz val="10"/>
        <rFont val="Arial"/>
        <family val="2"/>
      </rPr>
      <t>Activity data has been supplied. A carbon mass balance has been used to determine GHG data. In most cases the activity data cannot be directly translated to GHG data. Flaring activity data cannot be supplied due to various streams entering the flare at any given time.</t>
    </r>
  </si>
  <si>
    <r>
      <rPr>
        <b/>
        <sz val="9"/>
        <rFont val="Arial"/>
        <family val="2"/>
      </rPr>
      <t>IPCC code</t>
    </r>
  </si>
  <si>
    <r>
      <rPr>
        <b/>
        <sz val="9"/>
        <rFont val="Arial"/>
        <family val="2"/>
      </rPr>
      <t>Sub category (disaggregated by fuel / product type / production process)</t>
    </r>
  </si>
  <si>
    <r>
      <rPr>
        <b/>
        <sz val="9"/>
        <rFont val="Arial"/>
        <family val="2"/>
      </rPr>
      <t>Activity data</t>
    </r>
  </si>
  <si>
    <r>
      <rPr>
        <b/>
        <sz val="9"/>
        <rFont val="Arial"/>
        <family val="2"/>
      </rPr>
      <t>Emissions (tonnes/year)</t>
    </r>
  </si>
  <si>
    <r>
      <rPr>
        <b/>
        <sz val="9"/>
        <rFont val="Arial"/>
        <family val="2"/>
      </rPr>
      <t>Name of activity data</t>
    </r>
  </si>
  <si>
    <r>
      <rPr>
        <b/>
        <sz val="9"/>
        <rFont val="Arial"/>
        <family val="2"/>
      </rPr>
      <t>Value of activity data</t>
    </r>
  </si>
  <si>
    <r>
      <rPr>
        <b/>
        <sz val="9"/>
        <rFont val="Arial"/>
        <family val="2"/>
      </rPr>
      <t>Units of activity data</t>
    </r>
  </si>
  <si>
    <r>
      <rPr>
        <b/>
        <sz val="9"/>
        <rFont val="Arial"/>
        <family val="2"/>
      </rPr>
      <t>CO</t>
    </r>
    <r>
      <rPr>
        <b/>
        <sz val="6"/>
        <rFont val="Arial"/>
        <family val="2"/>
      </rPr>
      <t>2</t>
    </r>
  </si>
  <si>
    <r>
      <rPr>
        <b/>
        <sz val="9"/>
        <rFont val="Arial"/>
        <family val="2"/>
      </rPr>
      <t>CH</t>
    </r>
    <r>
      <rPr>
        <b/>
        <sz val="6"/>
        <rFont val="Arial"/>
        <family val="2"/>
      </rPr>
      <t>4</t>
    </r>
  </si>
  <si>
    <r>
      <rPr>
        <b/>
        <sz val="9"/>
        <rFont val="Arial"/>
        <family val="2"/>
      </rPr>
      <t>N</t>
    </r>
    <r>
      <rPr>
        <b/>
        <sz val="6"/>
        <rFont val="Arial"/>
        <family val="2"/>
      </rPr>
      <t>2</t>
    </r>
    <r>
      <rPr>
        <b/>
        <sz val="9"/>
        <rFont val="Arial"/>
        <family val="2"/>
      </rPr>
      <t>0</t>
    </r>
  </si>
  <si>
    <r>
      <rPr>
        <b/>
        <sz val="9"/>
        <rFont val="Arial"/>
        <family val="2"/>
      </rPr>
      <t>Value</t>
    </r>
  </si>
  <si>
    <r>
      <rPr>
        <b/>
        <sz val="9"/>
        <rFont val="Arial"/>
        <family val="2"/>
      </rPr>
      <t>Tier</t>
    </r>
  </si>
  <si>
    <r>
      <rPr>
        <b/>
        <sz val="9"/>
        <rFont val="Arial"/>
        <family val="2"/>
      </rPr>
      <t>Reference - technical guidelines</t>
    </r>
  </si>
  <si>
    <r>
      <rPr>
        <sz val="9"/>
        <rFont val="Arial"/>
        <family val="2"/>
      </rPr>
      <t>1A1</t>
    </r>
  </si>
  <si>
    <r>
      <rPr>
        <sz val="9"/>
        <rFont val="Arial"/>
        <family val="2"/>
      </rPr>
      <t>1A1c</t>
    </r>
  </si>
  <si>
    <r>
      <rPr>
        <sz val="9"/>
        <rFont val="Arial"/>
        <family val="2"/>
      </rPr>
      <t>Boiler coal combustion</t>
    </r>
  </si>
  <si>
    <r>
      <rPr>
        <sz val="9"/>
        <rFont val="Arial"/>
        <family val="2"/>
      </rPr>
      <t>tonnes of run of mine coal</t>
    </r>
  </si>
  <si>
    <r>
      <rPr>
        <sz val="9"/>
        <rFont val="Arial"/>
        <family val="2"/>
      </rPr>
      <t>Page 52-54</t>
    </r>
  </si>
  <si>
    <r>
      <rPr>
        <sz val="9"/>
        <rFont val="Arial"/>
        <family val="2"/>
      </rPr>
      <t>Gas to power plants</t>
    </r>
  </si>
  <si>
    <r>
      <rPr>
        <sz val="9"/>
        <rFont val="Arial"/>
        <family val="2"/>
      </rPr>
      <t>kNm</t>
    </r>
    <r>
      <rPr>
        <sz val="6"/>
        <rFont val="Arial"/>
        <family val="2"/>
      </rPr>
      <t>3</t>
    </r>
  </si>
  <si>
    <r>
      <rPr>
        <sz val="9"/>
        <rFont val="Arial"/>
        <family val="2"/>
      </rPr>
      <t>Fuel gas combustion</t>
    </r>
  </si>
  <si>
    <r>
      <rPr>
        <sz val="9"/>
        <rFont val="Arial"/>
        <family val="2"/>
      </rPr>
      <t>GJ</t>
    </r>
  </si>
  <si>
    <r>
      <rPr>
        <sz val="9"/>
        <rFont val="Arial"/>
        <family val="2"/>
      </rPr>
      <t>Fuel oil combustion</t>
    </r>
  </si>
  <si>
    <r>
      <rPr>
        <sz val="9"/>
        <rFont val="Arial"/>
        <family val="2"/>
      </rPr>
      <t>Sasol catalytic cracker</t>
    </r>
  </si>
  <si>
    <r>
      <rPr>
        <sz val="9"/>
        <rFont val="Arial"/>
        <family val="2"/>
      </rPr>
      <t>Wet sulphuric acid combustion emissions</t>
    </r>
  </si>
  <si>
    <r>
      <rPr>
        <sz val="9"/>
        <rFont val="Arial"/>
        <family val="2"/>
      </rPr>
      <t>1A</t>
    </r>
  </si>
  <si>
    <r>
      <rPr>
        <sz val="9"/>
        <rFont val="Arial"/>
        <family val="2"/>
      </rPr>
      <t>Natural gas combustion</t>
    </r>
  </si>
  <si>
    <r>
      <rPr>
        <sz val="9"/>
        <rFont val="Arial"/>
        <family val="2"/>
      </rPr>
      <t>GJ natural gas</t>
    </r>
  </si>
  <si>
    <r>
      <rPr>
        <sz val="9"/>
        <rFont val="Arial"/>
        <family val="2"/>
      </rPr>
      <t>1B</t>
    </r>
  </si>
  <si>
    <r>
      <rPr>
        <sz val="9"/>
        <rFont val="Arial"/>
        <family val="2"/>
      </rPr>
      <t>1B3</t>
    </r>
  </si>
  <si>
    <r>
      <rPr>
        <sz val="9"/>
        <rFont val="Arial"/>
        <family val="2"/>
      </rPr>
      <t>Flaring emissions</t>
    </r>
  </si>
  <si>
    <r>
      <rPr>
        <sz val="9"/>
        <rFont val="Arial"/>
        <family val="2"/>
      </rPr>
      <t>N/A</t>
    </r>
  </si>
  <si>
    <r>
      <rPr>
        <sz val="9"/>
        <rFont val="Arial"/>
        <family val="2"/>
      </rPr>
      <t>NA</t>
    </r>
  </si>
  <si>
    <r>
      <rPr>
        <sz val="9"/>
        <rFont val="Arial"/>
        <family val="2"/>
      </rPr>
      <t>Wet sulphuric acid process emissions</t>
    </r>
  </si>
  <si>
    <r>
      <rPr>
        <sz val="9"/>
        <rFont val="Arial"/>
        <family val="2"/>
      </rPr>
      <t>Butanol stripper</t>
    </r>
  </si>
  <si>
    <r>
      <rPr>
        <sz val="9"/>
        <rFont val="Arial"/>
        <family val="2"/>
      </rPr>
      <t>tonnes of butanol</t>
    </r>
  </si>
  <si>
    <r>
      <rPr>
        <sz val="9"/>
        <rFont val="Arial"/>
        <family val="2"/>
      </rPr>
      <t>4D</t>
    </r>
  </si>
  <si>
    <r>
      <rPr>
        <sz val="9"/>
        <rFont val="Arial"/>
        <family val="2"/>
      </rPr>
      <t>4D2</t>
    </r>
  </si>
  <si>
    <r>
      <rPr>
        <sz val="9"/>
        <rFont val="Arial"/>
        <family val="2"/>
      </rPr>
      <t>Process water dams</t>
    </r>
  </si>
  <si>
    <r>
      <rPr>
        <sz val="9"/>
        <rFont val="Arial"/>
        <family val="2"/>
      </rPr>
      <t>tonnes process water feed</t>
    </r>
  </si>
  <si>
    <r>
      <rPr>
        <sz val="9"/>
        <rFont val="Arial"/>
        <family val="2"/>
      </rPr>
      <t>Water recovery (including domestic sewage)</t>
    </r>
  </si>
  <si>
    <r>
      <rPr>
        <sz val="9"/>
        <rFont val="Arial"/>
        <family val="2"/>
      </rPr>
      <t>tonnes COD</t>
    </r>
  </si>
  <si>
    <r>
      <rPr>
        <sz val="9"/>
        <rFont val="Arial"/>
        <family val="2"/>
      </rPr>
      <t>2B</t>
    </r>
  </si>
  <si>
    <r>
      <rPr>
        <sz val="9"/>
        <rFont val="Arial"/>
        <family val="2"/>
      </rPr>
      <t>2B2</t>
    </r>
  </si>
  <si>
    <r>
      <rPr>
        <sz val="9"/>
        <rFont val="Arial"/>
        <family val="2"/>
      </rPr>
      <t>Nitric acid production</t>
    </r>
  </si>
  <si>
    <r>
      <rPr>
        <sz val="9"/>
        <rFont val="Arial"/>
        <family val="2"/>
      </rPr>
      <t>tonnes of nitric acid</t>
    </r>
  </si>
  <si>
    <r>
      <rPr>
        <sz val="9"/>
        <rFont val="Arial"/>
        <family val="2"/>
      </rPr>
      <t>2B1</t>
    </r>
  </si>
  <si>
    <r>
      <rPr>
        <sz val="9"/>
        <rFont val="Arial"/>
        <family val="2"/>
      </rPr>
      <t>Ammonia production</t>
    </r>
  </si>
  <si>
    <r>
      <rPr>
        <sz val="9"/>
        <rFont val="Arial"/>
        <family val="2"/>
      </rPr>
      <t>tonnes of ammonia</t>
    </r>
  </si>
  <si>
    <r>
      <rPr>
        <sz val="9"/>
        <rFont val="Arial"/>
        <family val="2"/>
      </rPr>
      <t>1B1</t>
    </r>
  </si>
  <si>
    <r>
      <rPr>
        <sz val="9"/>
        <rFont val="Arial"/>
        <family val="2"/>
      </rPr>
      <t>Sasol Mining</t>
    </r>
  </si>
  <si>
    <r>
      <rPr>
        <sz val="9"/>
        <rFont val="Arial"/>
        <family val="2"/>
      </rPr>
      <t>tonnes of coal mined</t>
    </r>
  </si>
  <si>
    <r>
      <rPr>
        <sz val="9"/>
        <rFont val="Arial"/>
        <family val="2"/>
      </rPr>
      <t>1B2</t>
    </r>
  </si>
  <si>
    <r>
      <rPr>
        <sz val="9"/>
        <rFont val="Arial"/>
        <family val="2"/>
      </rPr>
      <t>1B2b</t>
    </r>
  </si>
  <si>
    <r>
      <rPr>
        <sz val="9"/>
        <rFont val="Arial"/>
        <family val="2"/>
      </rPr>
      <t>Natural gas venting from the pipeline</t>
    </r>
  </si>
  <si>
    <r>
      <rPr>
        <sz val="9"/>
        <rFont val="Arial"/>
        <family val="2"/>
      </rPr>
      <t>kNm</t>
    </r>
    <r>
      <rPr>
        <sz val="6"/>
        <rFont val="Arial"/>
        <family val="2"/>
      </rPr>
      <t xml:space="preserve">3 </t>
    </r>
    <r>
      <rPr>
        <sz val="9"/>
        <rFont val="Arial"/>
        <family val="2"/>
      </rPr>
      <t>of natural gas</t>
    </r>
  </si>
  <si>
    <r>
      <rPr>
        <sz val="9"/>
        <rFont val="Arial"/>
        <family val="2"/>
      </rPr>
      <t>4C</t>
    </r>
  </si>
  <si>
    <r>
      <rPr>
        <sz val="9"/>
        <rFont val="Arial"/>
        <family val="2"/>
      </rPr>
      <t>4C2</t>
    </r>
  </si>
  <si>
    <r>
      <rPr>
        <sz val="9"/>
        <rFont val="Arial"/>
        <family val="2"/>
      </rPr>
      <t>Open burning of waste</t>
    </r>
  </si>
  <si>
    <r>
      <rPr>
        <sz val="9"/>
        <rFont val="Arial"/>
        <family val="2"/>
      </rPr>
      <t>1A5</t>
    </r>
  </si>
  <si>
    <r>
      <rPr>
        <sz val="9"/>
        <rFont val="Arial"/>
        <family val="2"/>
      </rPr>
      <t>1A5b</t>
    </r>
  </si>
  <si>
    <r>
      <rPr>
        <sz val="9"/>
        <rFont val="Arial"/>
        <family val="2"/>
      </rPr>
      <t>Mobile combustion: Mining machinery</t>
    </r>
  </si>
  <si>
    <r>
      <rPr>
        <sz val="9"/>
        <rFont val="Arial"/>
        <family val="2"/>
      </rPr>
      <t>litres of petrol and diesel</t>
    </r>
  </si>
  <si>
    <r>
      <rPr>
        <sz val="9"/>
        <rFont val="Arial"/>
        <family val="2"/>
      </rPr>
      <t>Carbon budget reporting requirement</t>
    </r>
  </si>
  <si>
    <t>NA</t>
  </si>
  <si>
    <t>No activity data due to complexity of the process</t>
  </si>
  <si>
    <t>Not applicable (NA)</t>
  </si>
  <si>
    <t>Numeric conversion</t>
  </si>
  <si>
    <t>1B</t>
  </si>
  <si>
    <t>1A*</t>
  </si>
  <si>
    <t>1B*</t>
  </si>
  <si>
    <t>2B*</t>
  </si>
  <si>
    <t>4D*</t>
  </si>
  <si>
    <t>totals:</t>
  </si>
  <si>
    <t>GWPs</t>
  </si>
  <si>
    <t>CH4</t>
  </si>
  <si>
    <t>DSR: Second Assessment Report</t>
  </si>
  <si>
    <t>N2O</t>
  </si>
  <si>
    <t>Mt</t>
  </si>
  <si>
    <t>excl. mobile, waste &amp; mining:fugitive</t>
  </si>
  <si>
    <t>Additional emissions not accounted for in SATIM</t>
  </si>
  <si>
    <t>Are we double counting or undercounting  emissions from Sasolburg?</t>
  </si>
  <si>
    <t>GREENHOUSE GAS (GHG) EMISSIONS</t>
  </si>
  <si>
    <t>Sasol South Africa Limited is registered as required in terms of the National Greenhouse Gas</t>
  </si>
  <si>
    <t>Emission Reporting Regulations, section 5 (1) with the Department of Environmental Affairs</t>
  </si>
  <si>
    <t>(DEA). Data has been submitted to the DEA on 31 March 2018 for calendar year 2017 as per</t>
  </si>
  <si>
    <t>data relates specifically to all the registered Sasol facilities.</t>
  </si>
  <si>
    <t>the requirements set out in Annexure 3 of the Regulations. The GHG emissions and activity</t>
  </si>
  <si>
    <t>1B3</t>
  </si>
  <si>
    <t>Other energy industries: process emissions</t>
  </si>
  <si>
    <r>
      <rPr>
        <b/>
        <sz val="9"/>
        <rFont val="Arial"/>
        <family val="2"/>
      </rPr>
      <t>kNm</t>
    </r>
    <r>
      <rPr>
        <b/>
        <sz val="6"/>
        <rFont val="Arial"/>
        <family val="2"/>
      </rPr>
      <t xml:space="preserve">3 </t>
    </r>
    <r>
      <rPr>
        <b/>
        <sz val="9"/>
        <rFont val="Arial"/>
        <family val="2"/>
      </rPr>
      <t>(pure gas rate for CTL/GTC)</t>
    </r>
  </si>
  <si>
    <t>Page 52-54</t>
  </si>
  <si>
    <t>https://www.sasol.com/sites/default/files/financial_reports/Additional%20Analyst%20Information%20-%2031%20December%202017.pdf</t>
  </si>
  <si>
    <t>total</t>
  </si>
  <si>
    <t>combustion</t>
  </si>
  <si>
    <t>total - exports</t>
  </si>
  <si>
    <t>GJ/ton</t>
  </si>
  <si>
    <t>PJ</t>
  </si>
  <si>
    <t>refined product</t>
  </si>
  <si>
    <t>ktpa</t>
  </si>
  <si>
    <t>heating fuels</t>
  </si>
  <si>
    <t>alcohols/ketones</t>
  </si>
  <si>
    <t>other chem</t>
  </si>
  <si>
    <t>other</t>
  </si>
  <si>
    <t>F-T coal</t>
  </si>
  <si>
    <t>energy</t>
  </si>
  <si>
    <t>base chemicals</t>
  </si>
  <si>
    <t>performance chemicals</t>
  </si>
  <si>
    <t>production</t>
  </si>
  <si>
    <t>saleable production</t>
  </si>
  <si>
    <t xml:space="preserve">internal sales </t>
  </si>
  <si>
    <t>SASOL Production and Sales metrics for the six months ended 31 December 2017</t>
  </si>
  <si>
    <t>SASOL Production and Sales metrics for the six months ended 31 December 2019</t>
  </si>
  <si>
    <t>SASOL Production and Sales metrics for the six months ended 31 December 2020</t>
  </si>
  <si>
    <t>SASOL Additional Analyst Information - 31 December 2017 2018</t>
  </si>
  <si>
    <t>SASOL Additional Analyst Information - 31 December 2017 2019</t>
  </si>
  <si>
    <t xml:space="preserve">external sales </t>
  </si>
  <si>
    <t>external purchases</t>
  </si>
  <si>
    <t>adjusted total usage</t>
  </si>
  <si>
    <t>stock change?</t>
  </si>
  <si>
    <t>Coal CV (Synfuels) (DEA, 2016)</t>
  </si>
  <si>
    <t>Usage by business stream:</t>
  </si>
  <si>
    <t>process</t>
  </si>
  <si>
    <t>secunda</t>
  </si>
  <si>
    <t>sasolburg</t>
  </si>
  <si>
    <t>sasol</t>
  </si>
  <si>
    <t>import</t>
  </si>
  <si>
    <t>export</t>
  </si>
  <si>
    <t xml:space="preserve">secunda </t>
  </si>
  <si>
    <t>COAL</t>
  </si>
  <si>
    <t>Gas</t>
  </si>
  <si>
    <t>gasification</t>
  </si>
  <si>
    <t>GAS</t>
  </si>
  <si>
    <t>Sasol internal use of gas</t>
  </si>
  <si>
    <t>bcf-&gt;PJ</t>
  </si>
  <si>
    <t>Gas to FT process -Sasolburg</t>
  </si>
  <si>
    <t>Gas to FT process Secunda</t>
  </si>
  <si>
    <t>Gas to Gas Turbines - Secunda</t>
  </si>
  <si>
    <t>Gas to Gas Engines - Sasolburg</t>
  </si>
  <si>
    <t>Gas SASOL</t>
  </si>
  <si>
    <t>MJ/m3</t>
  </si>
  <si>
    <t>DEFF 2020 Calorific Values [CV]</t>
  </si>
  <si>
    <t>1 mcf nat. gas (LHV) = 10.27 therm = 1.027 mmBtu = 1.082 GJ</t>
  </si>
  <si>
    <t>GJ/mcf</t>
  </si>
  <si>
    <t>MIT 2007 Units &amp; Conversions Fact Sheet</t>
  </si>
  <si>
    <t>TJ/bcf</t>
  </si>
  <si>
    <t>cf-&gt;m3</t>
  </si>
  <si>
    <t xml:space="preserve">BP </t>
  </si>
  <si>
    <t>?Flaring</t>
  </si>
  <si>
    <t xml:space="preserve">Mt </t>
  </si>
  <si>
    <t>bcf</t>
  </si>
  <si>
    <t>sasoburg</t>
  </si>
  <si>
    <t>gas engines</t>
  </si>
  <si>
    <t>hest-recovery- cogen</t>
  </si>
  <si>
    <t>OCGT</t>
  </si>
  <si>
    <t>?</t>
  </si>
  <si>
    <t>MWt</t>
  </si>
  <si>
    <t>MWe</t>
  </si>
  <si>
    <t>CCGT?</t>
  </si>
  <si>
    <t>cdp 2015/16 (july-june)</t>
  </si>
  <si>
    <t>coal</t>
  </si>
  <si>
    <t>gasoline</t>
  </si>
  <si>
    <t>gas</t>
  </si>
  <si>
    <t>Please state how much fuel in MWh your organization has consumed (for energy purposes) during the reporting year</t>
  </si>
  <si>
    <t>Please complete the table by breaking down the total "Fuel" figure entered above by fuel type</t>
  </si>
  <si>
    <t>Please state how much heat, steam, and cooling in MWh your organization has purchased and consumed during the reporting year</t>
  </si>
  <si>
    <t>Heat</t>
  </si>
  <si>
    <t>Steam</t>
  </si>
  <si>
    <t>Cooling</t>
  </si>
  <si>
    <t>Please report how much electricity you produce in MWh, and how much electricity you consume in MWh</t>
  </si>
  <si>
    <t>(MWh)</t>
  </si>
  <si>
    <t>Wed 01 Jul 2015 - Thu 30 Jun 2016</t>
  </si>
  <si>
    <t>m3</t>
  </si>
  <si>
    <t>Diesel/Gas Oil</t>
  </si>
  <si>
    <t>Bituminous-coal</t>
  </si>
  <si>
    <t>GJ</t>
  </si>
  <si>
    <t>2019 CC Report</t>
  </si>
  <si>
    <t>Scope 1</t>
  </si>
  <si>
    <t>EFFe</t>
  </si>
  <si>
    <t>Licence Number</t>
  </si>
  <si>
    <t>Licensee Name</t>
  </si>
  <si>
    <t>Licence Type</t>
  </si>
  <si>
    <t>Power Station Name</t>
  </si>
  <si>
    <t>System Used/Power Station Type</t>
  </si>
  <si>
    <t>Period</t>
  </si>
  <si>
    <t>Calendar Year</t>
  </si>
  <si>
    <r>
      <t xml:space="preserve"> </t>
    </r>
    <r>
      <rPr>
        <b/>
        <sz val="9"/>
        <color indexed="8"/>
        <rFont val="Arial"/>
        <family val="2"/>
      </rPr>
      <t xml:space="preserve">Licensed Capacity (MW) </t>
    </r>
    <r>
      <rPr>
        <b/>
        <sz val="9"/>
        <rFont val="Arial"/>
        <family val="2"/>
      </rPr>
      <t xml:space="preserve"> </t>
    </r>
  </si>
  <si>
    <r>
      <t xml:space="preserve"> </t>
    </r>
    <r>
      <rPr>
        <b/>
        <sz val="9"/>
        <color indexed="8"/>
        <rFont val="Arial"/>
        <family val="2"/>
      </rPr>
      <t>Energy Generated (MWh)</t>
    </r>
    <r>
      <rPr>
        <b/>
        <sz val="9"/>
        <rFont val="Arial"/>
        <family val="2"/>
      </rPr>
      <t xml:space="preserve"> </t>
    </r>
  </si>
  <si>
    <t>Auxilary Consumption (MWh)</t>
  </si>
  <si>
    <r>
      <t xml:space="preserve">Gross </t>
    </r>
    <r>
      <rPr>
        <b/>
        <sz val="9"/>
        <color indexed="8"/>
        <rFont val="Arial"/>
        <family val="2"/>
      </rPr>
      <t xml:space="preserve">Energy sent out (MWh) </t>
    </r>
    <r>
      <rPr>
        <b/>
        <sz val="9"/>
        <rFont val="Arial"/>
        <family val="2"/>
      </rPr>
      <t xml:space="preserve"> </t>
    </r>
  </si>
  <si>
    <t>Power Imports (MWh)</t>
  </si>
  <si>
    <t>Net Energy sent out (MWh)</t>
  </si>
  <si>
    <r>
      <rPr>
        <b/>
        <sz val="9"/>
        <color indexed="8"/>
        <rFont val="Arial"/>
        <family val="2"/>
      </rPr>
      <t xml:space="preserve">Energy consumed on site (MWh) </t>
    </r>
    <r>
      <rPr>
        <b/>
        <sz val="9"/>
        <rFont val="Arial"/>
        <family val="2"/>
      </rPr>
      <t xml:space="preserve"> </t>
    </r>
  </si>
  <si>
    <t>External Sales (MWh)</t>
  </si>
  <si>
    <t>NERSA/IPP/EC109/2014</t>
  </si>
  <si>
    <t>AC Whitcher (Pty) Ltd</t>
  </si>
  <si>
    <t>Private</t>
  </si>
  <si>
    <t>AC Whitcher Sawmill</t>
  </si>
  <si>
    <t>Biomass</t>
  </si>
  <si>
    <t>January-December 2017</t>
  </si>
  <si>
    <t>NERSA/IPP/NC/658-268</t>
  </si>
  <si>
    <t>ACWA Power Solafrica Bokpoort CSP Power Plant (Pty) Ltd</t>
  </si>
  <si>
    <t>Bokpoort CSP Power Plant</t>
  </si>
  <si>
    <t>Concentrated Solar Power (CSP)</t>
  </si>
  <si>
    <t>NER/IPP/NC/658-73</t>
  </si>
  <si>
    <t>Adams Solar PV Project 2 (Pty) Ltd</t>
  </si>
  <si>
    <t>Adams Solar PV</t>
  </si>
  <si>
    <t>Solar Photovoltaic (PV)</t>
  </si>
  <si>
    <t>NERSA/IPP/NC/658-112</t>
  </si>
  <si>
    <t>AE-AMD Independent Power Producer 1 (Pty) Ltd</t>
  </si>
  <si>
    <t>Greefspan PV Power Plant</t>
  </si>
  <si>
    <t>NER/IPP/NC/658-60</t>
  </si>
  <si>
    <t>AE-AMD Independent Power Producer 3 (Pty) Ltd</t>
  </si>
  <si>
    <t>Herbert PV Power Plant</t>
  </si>
  <si>
    <t>NER/G/KELVIN</t>
  </si>
  <si>
    <t>AES Kelvin Power (Pty) Ltd</t>
  </si>
  <si>
    <t>Kelvin</t>
  </si>
  <si>
    <t>Coal</t>
  </si>
  <si>
    <t>NERSA/IPP/EC/658-269</t>
  </si>
  <si>
    <t>Amakhala Emoyeni Re Project 1 (Pty) Ltd</t>
  </si>
  <si>
    <t>Amakhala Emoyeni Wind Farm</t>
  </si>
  <si>
    <t>Wind</t>
  </si>
  <si>
    <t>NERSA/IPP/WC/658-277</t>
  </si>
  <si>
    <t xml:space="preserve">Aurora Wind Power (RF) (Pty) Ltd </t>
  </si>
  <si>
    <t>West Coast 1</t>
  </si>
  <si>
    <t>NERSA/IPP/WC/658-270</t>
  </si>
  <si>
    <t>Aurora-Rietvlei Solar Power (RF) (Pty) Ltd</t>
  </si>
  <si>
    <t>Aurora Rietvlei Solar Power</t>
  </si>
  <si>
    <t>NERSA/IPP/KZN/658-133</t>
  </si>
  <si>
    <t>Avon Peaking Power (Pty) Ltd</t>
  </si>
  <si>
    <t>Avon generation station</t>
  </si>
  <si>
    <t>NERSA/G/BET-IPP</t>
  </si>
  <si>
    <t>Bethlehem Hydro (Pty) Ltd</t>
  </si>
  <si>
    <t>Merino</t>
  </si>
  <si>
    <t>Hydro</t>
  </si>
  <si>
    <t>Sol Plaatje</t>
  </si>
  <si>
    <t>NERSA/IPP/NC/658-271</t>
  </si>
  <si>
    <t>Blue Falcon 140 Trading (Pty) Ltd</t>
  </si>
  <si>
    <t>Gouda Wind Energy Facility</t>
  </si>
  <si>
    <t>NERSA/IPP/GP/658-326</t>
  </si>
  <si>
    <t>Bronkhorstspruit Biogas Plant (Pty) Ltd</t>
  </si>
  <si>
    <t xml:space="preserve">Bronkhorstspruit Biogas Plant </t>
  </si>
  <si>
    <t>Biogas</t>
  </si>
  <si>
    <t>NERSA/IPP/NC/658-272</t>
  </si>
  <si>
    <t>Chaba Wind Power (Pty) Ltd</t>
  </si>
  <si>
    <t>Chaba Wind Farm Project</t>
  </si>
  <si>
    <t>0820655</t>
  </si>
  <si>
    <t>City of Cape Town</t>
  </si>
  <si>
    <t>Municipality</t>
  </si>
  <si>
    <t>Athlone Gas Turbine</t>
  </si>
  <si>
    <t>Roggebaai Gas Turbine</t>
  </si>
  <si>
    <t>Steenbras</t>
  </si>
  <si>
    <t>Pumped Storage</t>
  </si>
  <si>
    <t>NER/G/TSHW</t>
  </si>
  <si>
    <t xml:space="preserve">City of Tshwane </t>
  </si>
  <si>
    <t xml:space="preserve">Rooiwal </t>
  </si>
  <si>
    <t>Pretoria West</t>
  </si>
  <si>
    <t>Coal and Gas</t>
  </si>
  <si>
    <t>NERSA/G/CKL-IPP</t>
  </si>
  <si>
    <t>Clackson Power Company (Pty) Ltd</t>
  </si>
  <si>
    <t xml:space="preserve">Clanwilliam Dam Hydo Power Station </t>
  </si>
  <si>
    <t>NERSA/IPP/LP/882-29</t>
  </si>
  <si>
    <t>Core Energy (Pty) Ltd</t>
  </si>
  <si>
    <t>NERSA/IPP/NC/468-21</t>
  </si>
  <si>
    <t>Coria (PKF) Investment 28 (Pty) Ltd</t>
  </si>
  <si>
    <t>Noblesfontein Wind Farm</t>
  </si>
  <si>
    <t>NERSA/IPP/WP/1033-194</t>
  </si>
  <si>
    <t>CPV Power Plant No.1 (Pty) Ltd</t>
  </si>
  <si>
    <t xml:space="preserve">CPV Power Plant No.1 </t>
  </si>
  <si>
    <t>NER/G/IPP/DAR</t>
  </si>
  <si>
    <t>Darling Independent Power Producer (Pty) Ltd</t>
  </si>
  <si>
    <t xml:space="preserve">Darlipp (Pty) Ltd </t>
  </si>
  <si>
    <t>NERSA/IPP/EC/658-134</t>
  </si>
  <si>
    <t>Dedisa Peaking Power (Pty) Ltd</t>
  </si>
  <si>
    <t>Dedisa generation station</t>
  </si>
  <si>
    <t xml:space="preserve">Gas </t>
  </si>
  <si>
    <t>NERSA/IPP/EC/658-128</t>
  </si>
  <si>
    <t>Dorper Wind Farm (Pty) Ltd</t>
  </si>
  <si>
    <t>Dorper Wind Farm</t>
  </si>
  <si>
    <t>NER/IPP/WC/658-409</t>
  </si>
  <si>
    <t>Electra Capital (Pty) Ltd</t>
  </si>
  <si>
    <t>Paleisheuwel Solar Park</t>
  </si>
  <si>
    <t>NERSA/IPP/EC232/2011</t>
  </si>
  <si>
    <t xml:space="preserve">Electrawinds Africa and Indian Ocean Islands (Pty) Ltd </t>
  </si>
  <si>
    <t>Electrawinds Wind Turbine</t>
  </si>
  <si>
    <t>NER/IPP/GP/658-400</t>
  </si>
  <si>
    <t>Energy Joburg (RF) (Pty) Ltd</t>
  </si>
  <si>
    <t>Robinsons Deep Site</t>
  </si>
  <si>
    <t>Methane Gas</t>
  </si>
  <si>
    <t>Goudkoppies Site</t>
  </si>
  <si>
    <t>NERSA/IPP/L/1033-195</t>
  </si>
  <si>
    <t>Erika Energy (Pty) Ltd</t>
  </si>
  <si>
    <t>Southpan Solar Park</t>
  </si>
  <si>
    <t>NER/G/Eskom</t>
  </si>
  <si>
    <t>Eskom Holdings (Pty) Ltd</t>
  </si>
  <si>
    <t>Eskom</t>
  </si>
  <si>
    <t>Arnot</t>
  </si>
  <si>
    <t>Camden</t>
  </si>
  <si>
    <t>Duvha</t>
  </si>
  <si>
    <t>Grootvlei</t>
  </si>
  <si>
    <t>Hendrina</t>
  </si>
  <si>
    <t>Kendal</t>
  </si>
  <si>
    <t>Komati</t>
  </si>
  <si>
    <t>Kriel</t>
  </si>
  <si>
    <t>Lethabo</t>
  </si>
  <si>
    <t>Majuba</t>
  </si>
  <si>
    <t>Matimba</t>
  </si>
  <si>
    <t>Matla</t>
  </si>
  <si>
    <t>Tutuka</t>
  </si>
  <si>
    <t>Acacia</t>
  </si>
  <si>
    <t>Ankerlig</t>
  </si>
  <si>
    <t>Gourikwa</t>
  </si>
  <si>
    <t>Port Rex</t>
  </si>
  <si>
    <t>Gariep</t>
  </si>
  <si>
    <t>Vanderkloof</t>
  </si>
  <si>
    <t>Koeberg</t>
  </si>
  <si>
    <t>Nuclear</t>
  </si>
  <si>
    <t>Drakensberg</t>
  </si>
  <si>
    <t>Palmiet</t>
  </si>
  <si>
    <t>Ncora</t>
  </si>
  <si>
    <t>Mbashe</t>
  </si>
  <si>
    <t>First Falls</t>
  </si>
  <si>
    <t>Second Falls</t>
  </si>
  <si>
    <t>Sere Wind Farm</t>
  </si>
  <si>
    <t>Medupi</t>
  </si>
  <si>
    <t>Ingula</t>
  </si>
  <si>
    <t>Kusile</t>
  </si>
  <si>
    <t>NERSA/IPP/NC/658-273</t>
  </si>
  <si>
    <t>Firefly Investments 230 (RF) (Pty) Ltd</t>
  </si>
  <si>
    <t>Boshoff Solar Park</t>
  </si>
  <si>
    <t>NER/IPP/EC/658-62</t>
  </si>
  <si>
    <t>Firefly Investments 253 (Pty) Ltd</t>
  </si>
  <si>
    <t>Letsatsi PV</t>
  </si>
  <si>
    <t>199-295-1</t>
  </si>
  <si>
    <t>Friedenheim Irrigation Board</t>
  </si>
  <si>
    <t xml:space="preserve">Friedenheim </t>
  </si>
  <si>
    <t>NER/IPP/NC/468-41</t>
  </si>
  <si>
    <t>Gibson Bay Wind Farm (Pty) Ltd</t>
  </si>
  <si>
    <t>Gibson Bay Wind Power</t>
  </si>
  <si>
    <t>NERSA/IPP/EC/658-274</t>
  </si>
  <si>
    <t>Grassridge Wind Power (Pty) Ltd</t>
  </si>
  <si>
    <t>Grassridge Wind Farm</t>
  </si>
  <si>
    <t>NER/G/KZ226/01</t>
  </si>
  <si>
    <t>Illovo Sugar South Africa Limited</t>
  </si>
  <si>
    <t>Eston Mill</t>
  </si>
  <si>
    <t>Bagasse</t>
  </si>
  <si>
    <t>NERSA/IPP/NC/658-275</t>
  </si>
  <si>
    <t>Jasper Power Company (Pty) Ltd</t>
  </si>
  <si>
    <t xml:space="preserve">Jasper Power Company </t>
  </si>
  <si>
    <t>NER/IPP/EC/658-138</t>
  </si>
  <si>
    <t>Jeffreys Bay Wind Farm (RF) (Pty) Ltd</t>
  </si>
  <si>
    <t>Jeffreys Bay Wind Farm</t>
  </si>
  <si>
    <t>NER/IPP/NC/658-137</t>
  </si>
  <si>
    <t>Ka Xu Solar One (Pty) Ltd</t>
  </si>
  <si>
    <t>Ka Xu Solar One</t>
  </si>
  <si>
    <t>NERSA/IPP/NC/658-276</t>
  </si>
  <si>
    <t>Kakamas Hydroelectric Power (Pty) Ltd</t>
  </si>
  <si>
    <t>Kakamas Hydro Electric Power</t>
  </si>
  <si>
    <t>NER/IPP/NC/658-106</t>
  </si>
  <si>
    <t>Khi Solar one (Pty) Ltd</t>
  </si>
  <si>
    <t xml:space="preserve">Khi Solar one </t>
  </si>
  <si>
    <t>NER/IPP/WC/658-105</t>
  </si>
  <si>
    <t>Klipheuwel-Dassiefontein Wind Energy Facility (Pty) Ltd</t>
  </si>
  <si>
    <t>Dassieklip Wind Energy Facility</t>
  </si>
  <si>
    <t>NERSA/IPP/EC/468-22</t>
  </si>
  <si>
    <t>Kouga Wind Farm (RF) (Pty) Ltd</t>
  </si>
  <si>
    <t xml:space="preserve">Kouga Wind Farm </t>
  </si>
  <si>
    <t>NERSA/IPP/NC/658-111</t>
  </si>
  <si>
    <t xml:space="preserve">Limarco 77 (Pty) Ltd </t>
  </si>
  <si>
    <t>NER/IPP/WC/658-1016</t>
  </si>
  <si>
    <t>L'omarins (Pty) Ltd</t>
  </si>
  <si>
    <t>L'omarins Hydro Power Plant</t>
  </si>
  <si>
    <t>NER/IPP/NC/658-398</t>
  </si>
  <si>
    <t>Longyuan Mulilo De Aar 2 North (Pty) Ltd</t>
  </si>
  <si>
    <t>Longyuan Mulilo De Aar 2 North Wind Farm</t>
  </si>
  <si>
    <t>NER/IPP/NC/658-394</t>
  </si>
  <si>
    <t>Longyuan Mulilo De Aar Wind Power (Pty) Ltd</t>
  </si>
  <si>
    <t xml:space="preserve">Longyuan Mulilo De Aar Maanhaarberg Wind Energy Facility </t>
  </si>
  <si>
    <t>NERSA/G/IPP/MCS</t>
  </si>
  <si>
    <t>MethCap SPV1 (Proprietary) Limited</t>
  </si>
  <si>
    <t>Cogeneration Plant Methcap Petro SA</t>
  </si>
  <si>
    <t>NERSA/IPP/KZN282/11</t>
  </si>
  <si>
    <t>Mondi Limited</t>
  </si>
  <si>
    <t>Mondi Richards Bay Mill</t>
  </si>
  <si>
    <t>Spent pulping liquor, Coal and Gas</t>
  </si>
  <si>
    <t>NERSA/IPP/MP/2012</t>
  </si>
  <si>
    <t>Mpact Limited</t>
  </si>
  <si>
    <t>Mpact, Piet Retief</t>
  </si>
  <si>
    <t>Spent Liqour and Coal</t>
  </si>
  <si>
    <t>NER/IPP/NC073/658-71</t>
  </si>
  <si>
    <t>Mulilo Renewable Energy Solar De Aar (Pty) Ltd</t>
  </si>
  <si>
    <t>Mulilo Renewable Energy Solar De Aar</t>
  </si>
  <si>
    <t>NER/IPP/NC077/068-107</t>
  </si>
  <si>
    <t>Mulilo Renewable Solar PV Prieska (Pty) Ltd</t>
  </si>
  <si>
    <t>NER/IPP/NC/822-82</t>
  </si>
  <si>
    <t>Mulilo Sonnedix Prieska PV (Pty) Ltd</t>
  </si>
  <si>
    <t xml:space="preserve">Mulilo Sonnedix Prieska PV </t>
  </si>
  <si>
    <t>NER/G/Nman</t>
  </si>
  <si>
    <t>Nelson Mandela Bay Metropolitan Municipality</t>
  </si>
  <si>
    <t>Mount Road Gas Turbine</t>
  </si>
  <si>
    <t>NERSA/G/KZ232/01</t>
  </si>
  <si>
    <t>Newcastle Cogeneration Limited</t>
  </si>
  <si>
    <t>Newcastle Cogeneration (Pty) Ltd</t>
  </si>
  <si>
    <t>NER/IPP/EC/658-393</t>
  </si>
  <si>
    <t>Nojoli Wind Farm (RF) (Pty) Ltd</t>
  </si>
  <si>
    <t>Nojoli Wind Farm</t>
  </si>
  <si>
    <t>NER/IPP/NC085/068-110</t>
  </si>
  <si>
    <t>Oakleaf Investments Holdings 79 (Pty) Ltd</t>
  </si>
  <si>
    <t>Lesedi PV</t>
  </si>
  <si>
    <t>NERSA/IPP/MP313/2012</t>
  </si>
  <si>
    <t>Power Alt (Pty) Ltd</t>
  </si>
  <si>
    <t>Power Alt</t>
  </si>
  <si>
    <t>NER/IPP/FS/658-408</t>
  </si>
  <si>
    <t>Pulida Energy (Pty) Ltd</t>
  </si>
  <si>
    <t>Pulida Solar Park</t>
  </si>
  <si>
    <t>NERSA/IPP/MP/2011</t>
  </si>
  <si>
    <t xml:space="preserve">RCL Foods Sugar and Milling (Pty) Ltd </t>
  </si>
  <si>
    <t>TSB Komati</t>
  </si>
  <si>
    <t>Bagasse and Coal</t>
  </si>
  <si>
    <t xml:space="preserve">TSB Malelane </t>
  </si>
  <si>
    <t>NERSA/IPP/NC/822-28</t>
  </si>
  <si>
    <t>Renewable Energy Investments SA (RF) (Pty) Ltd</t>
  </si>
  <si>
    <t>Khathu</t>
  </si>
  <si>
    <t>NERSA/IPP/EC/658-126</t>
  </si>
  <si>
    <t>Renewables Cookhouse Wind Farm 1 (RF) (Pty) Ltd</t>
  </si>
  <si>
    <t xml:space="preserve">Cookhouse Wind Farm </t>
  </si>
  <si>
    <t>NERSA/IPP/EC/658-127</t>
  </si>
  <si>
    <t xml:space="preserve">Rubicept (Pty) Ltd </t>
  </si>
  <si>
    <t>Metro Wind Van Stadens Wind Farm</t>
  </si>
  <si>
    <t>NER/IPP/NW/658-55</t>
  </si>
  <si>
    <t>Rustmo1 Solar Farm (Pty) Ltd</t>
  </si>
  <si>
    <t>NERSA/IPP/NC/822-30</t>
  </si>
  <si>
    <t>SAMRP De Aar (RF) (Pty) Ltd</t>
  </si>
  <si>
    <t>SAMRP De Aar Solar Farm (Pty) Ltd</t>
  </si>
  <si>
    <t>NERSA/IPP/NC/822-31</t>
  </si>
  <si>
    <t>SAMRP Droogfontein (RF) (Pty) Ltd</t>
  </si>
  <si>
    <t>SAMRP Droogfontein Solar Farm (Pty) Ltd</t>
  </si>
  <si>
    <t>NER/IPP/NC/658-393</t>
  </si>
  <si>
    <t>SAMRP Khobab Wind (Pty) Ltd</t>
  </si>
  <si>
    <t xml:space="preserve">Khobab Wind Farm </t>
  </si>
  <si>
    <t>NER/IPP/NC/658-395</t>
  </si>
  <si>
    <t>SAMRP Loeriesfontein 2 (Pty) Ltd</t>
  </si>
  <si>
    <t xml:space="preserve">Loeriesfontein 2 Wind Farm </t>
  </si>
  <si>
    <t>NER/IPP/NC/658-399</t>
  </si>
  <si>
    <t>SAMRP Noupoort (Pty) Ltd</t>
  </si>
  <si>
    <t>Noupoort Wind Farm</t>
  </si>
  <si>
    <t>LCE/COGEN/KZN291/2013</t>
  </si>
  <si>
    <t>Sappi Southern Africa Ltd</t>
  </si>
  <si>
    <t>Sappi Saiccor</t>
  </si>
  <si>
    <t>Spent Pulping Liqour and Coal</t>
  </si>
  <si>
    <t>Sappi Ngodwana</t>
  </si>
  <si>
    <t>NER/IPP/FS/2013</t>
  </si>
  <si>
    <t>Sasol South Africa (Pty) Limited</t>
  </si>
  <si>
    <t>Sasol Chemical Industries Plant</t>
  </si>
  <si>
    <t>Sasol Synfuels Steam Plant</t>
  </si>
  <si>
    <t xml:space="preserve">Sasolburg Gas Engines Power Plant </t>
  </si>
  <si>
    <t>Sasol unit 543 Gas Turbines</t>
  </si>
  <si>
    <t>NER/IPP/NC/658-83</t>
  </si>
  <si>
    <t xml:space="preserve">Scatec Solar SA 166  (Pty) Ltd </t>
  </si>
  <si>
    <t xml:space="preserve">Kalkbult </t>
  </si>
  <si>
    <t>Sevenstones 159 (Pty) Ltd</t>
  </si>
  <si>
    <t>Sevenstone 159 (Pty) Ltd</t>
  </si>
  <si>
    <t>NERSA/IPP/NC/658-278</t>
  </si>
  <si>
    <t>Simacel 155 (Pty) Ltd</t>
  </si>
  <si>
    <t>Linde</t>
  </si>
  <si>
    <t>NERSA/IPP/NC/658-279</t>
  </si>
  <si>
    <t>Simacel 160 (Pty) Ltd</t>
  </si>
  <si>
    <t>Dreunberg</t>
  </si>
  <si>
    <t>NER/IPP/EC/658-78</t>
  </si>
  <si>
    <t>SlimSun (Pty) Ltd</t>
  </si>
  <si>
    <t>SlimSun Swatland Solar Park</t>
  </si>
  <si>
    <t>NER/IPP/NC/658-90</t>
  </si>
  <si>
    <t>Solar Capital De Aar (Pty) Ltd</t>
  </si>
  <si>
    <t>iLanga Lethemba PV solar energy</t>
  </si>
  <si>
    <t>NERSA/IPP/NC/658-280</t>
  </si>
  <si>
    <t>Solar Capital De Aar 3 (Pty) Ltd</t>
  </si>
  <si>
    <t>iLanga Lethemba PV energy facility</t>
  </si>
  <si>
    <t>NERSA/IPP/FS/658-267</t>
  </si>
  <si>
    <t>Stortemelk Hydro (Pty) Ltd</t>
  </si>
  <si>
    <t>NERSA/IPP/NC/658-281</t>
  </si>
  <si>
    <t>Sublunary Trading (Pty) Ltd RF</t>
  </si>
  <si>
    <t>Upington Solar PV Project</t>
  </si>
  <si>
    <t>NER/MUNIC/G/MP32/01</t>
  </si>
  <si>
    <t>Thaba Chweu Local Municipality</t>
  </si>
  <si>
    <t>Lydenburg Hydro</t>
  </si>
  <si>
    <t>NER/IPP/L/822-76</t>
  </si>
  <si>
    <t>Tobivox (Pty) Ltd</t>
  </si>
  <si>
    <t>Tom Burke Solar Park</t>
  </si>
  <si>
    <t>NER/G/THS</t>
  </si>
  <si>
    <t>Tongaat Hulett Sugar Mills and Estates Limited</t>
  </si>
  <si>
    <t xml:space="preserve">Amatikulu  </t>
  </si>
  <si>
    <t xml:space="preserve">Darnall  </t>
  </si>
  <si>
    <t xml:space="preserve">Felixton  </t>
  </si>
  <si>
    <t xml:space="preserve">Maidstone  </t>
  </si>
  <si>
    <t>NERSA/IPP/EC/658-282</t>
  </si>
  <si>
    <t>Tsitsikamma Community Wind Farm (Pty) Ltd</t>
  </si>
  <si>
    <t>Tsitsikamma Community Wind Farm</t>
  </si>
  <si>
    <t>NERSA/IPP/KZN/2012</t>
  </si>
  <si>
    <t>Umfolozi Sugar Mill (Pty) Ltd</t>
  </si>
  <si>
    <t>Umfolozi Sugar Mill</t>
  </si>
  <si>
    <t>NER/IPP/WC/658-139</t>
  </si>
  <si>
    <t>Umoya Energy (Pty) Ltd</t>
  </si>
  <si>
    <t xml:space="preserve">Hopefield Wind Farm </t>
  </si>
  <si>
    <t>NERSA/IPP/WC/658-283</t>
  </si>
  <si>
    <t>Vredendal Solar Power Park (Pty) Ltd</t>
  </si>
  <si>
    <t>Vredendal Solar Power Park</t>
  </si>
  <si>
    <t>NERSA/IPP/EC/658-284</t>
  </si>
  <si>
    <t>Waainek Wind Farm Power (Pty) Ltd</t>
  </si>
  <si>
    <t xml:space="preserve">Waainek Wind Farm </t>
  </si>
  <si>
    <t>NERSA/IPP/NC/658-285</t>
  </si>
  <si>
    <t>Windfall 59 Properties(Pty) Ltd</t>
  </si>
  <si>
    <t>Sishen Solar Energy Facility</t>
  </si>
  <si>
    <t>NER/IPP/NC/658-403</t>
  </si>
  <si>
    <t>Xina Solar One (RF) (Pty) Ltd</t>
  </si>
  <si>
    <t>Xina Solar One</t>
  </si>
  <si>
    <t>Capacity</t>
  </si>
  <si>
    <t>AFA</t>
  </si>
  <si>
    <t>Sasol</t>
  </si>
  <si>
    <t>SRK 2019 Report Number 539945/AIR</t>
  </si>
  <si>
    <t>gasT1</t>
  </si>
  <si>
    <t>gasT2</t>
  </si>
  <si>
    <t>gas turbine</t>
  </si>
  <si>
    <t>gasE</t>
  </si>
  <si>
    <t>SASOL media release</t>
  </si>
  <si>
    <t xml:space="preserve">sasolburg </t>
  </si>
  <si>
    <t>All data for Calendar years</t>
  </si>
  <si>
    <t>Actual data (calculated from Sasol Analyst book) - public domain</t>
  </si>
  <si>
    <t>Forecast data</t>
  </si>
  <si>
    <t>Pipeline gas sales PJ/annum</t>
  </si>
  <si>
    <t xml:space="preserve"> </t>
  </si>
  <si>
    <t>Natural gas</t>
  </si>
  <si>
    <t>Methane rich gas</t>
  </si>
  <si>
    <t>Hydrogen rich gas</t>
  </si>
  <si>
    <t>Total Supply</t>
  </si>
  <si>
    <t>External market</t>
  </si>
  <si>
    <t>Total Sales</t>
  </si>
  <si>
    <t>Sasol synfuels - Secunda</t>
  </si>
  <si>
    <t>Sasol new energy</t>
  </si>
  <si>
    <t xml:space="preserve">Sasol chemicals -Sasolburg </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</si>
  <si>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</si>
  <si>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</si>
  <si>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</si>
  <si>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</si>
  <si>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</si>
  <si>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</si>
  <si>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</si>
  <si>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</si>
  <si>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</si>
  <si>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</si>
  <si>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</si>
  <si>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Moz ext sales</t>
  </si>
  <si>
    <t>ZA external sales:</t>
  </si>
  <si>
    <t>Methane Rich Gas (PJ)</t>
  </si>
  <si>
    <t>Moz Ngas</t>
  </si>
  <si>
    <t>Total sasol consumption</t>
  </si>
  <si>
    <t>Derek's calculations: SASOL internal usage</t>
  </si>
  <si>
    <t>Gas to FT process</t>
  </si>
  <si>
    <t>GAS consumption - GJ</t>
  </si>
  <si>
    <t>GWh</t>
  </si>
  <si>
    <t>TJ</t>
  </si>
  <si>
    <t>LPG</t>
  </si>
  <si>
    <t>Jet Fuel</t>
  </si>
  <si>
    <t>Diesel</t>
  </si>
  <si>
    <t>Electricity</t>
  </si>
  <si>
    <t>SOURCE: DoE DIGEST OF SOUTH AFRICAN ENERGY STATISTICS 2009</t>
  </si>
  <si>
    <t>CALORIFIC VALUES</t>
  </si>
  <si>
    <t>Energy carrier</t>
  </si>
  <si>
    <t>Calorific
Value</t>
  </si>
  <si>
    <t>Units</t>
  </si>
  <si>
    <t>Density (kg/l)</t>
  </si>
  <si>
    <t>Intensity (MJ/kg)</t>
  </si>
  <si>
    <t>MJ/l</t>
  </si>
  <si>
    <t xml:space="preserve">Paraffin Power </t>
  </si>
  <si>
    <t>MJ/kWh</t>
  </si>
  <si>
    <t>Natural Gas</t>
  </si>
  <si>
    <t xml:space="preserve">Heavy Fuel Oil </t>
  </si>
  <si>
    <t>Petrol</t>
  </si>
  <si>
    <t xml:space="preserve">Paraffin Illuminating CSS (StatsSA) Data </t>
  </si>
  <si>
    <t xml:space="preserve">Aviation Gas </t>
  </si>
  <si>
    <t>Coal Eskom Average</t>
  </si>
  <si>
    <t>MJ/kg</t>
  </si>
  <si>
    <t xml:space="preserve">Coal (General purpose) </t>
  </si>
  <si>
    <t>Coal (Coking)</t>
  </si>
  <si>
    <t xml:space="preserve">Coke  </t>
  </si>
  <si>
    <t>Coke oven gas</t>
  </si>
  <si>
    <t>Blast furnace gas</t>
  </si>
  <si>
    <t>Refinery gas (estimate)</t>
  </si>
  <si>
    <t xml:space="preserve">Bagasse (wet) </t>
  </si>
  <si>
    <r>
      <rPr>
        <sz val="11"/>
        <rFont val="Arial"/>
        <family val="34"/>
      </rPr>
      <t>MJ/kg</t>
    </r>
  </si>
  <si>
    <t>Bagasse fibre (dry) 14.0 MJ/kg</t>
  </si>
  <si>
    <t xml:space="preserve">Biomass (wood dry typical) </t>
  </si>
  <si>
    <r>
      <rPr>
        <sz val="11"/>
        <rFont val="Arial"/>
        <family val="34"/>
      </rPr>
      <t>Coal gas (Sasol)</t>
    </r>
  </si>
  <si>
    <r>
      <rPr>
        <sz val="11"/>
        <rFont val="Arial"/>
        <family val="34"/>
      </rPr>
      <t>Coal gas (Sasol - methane rich)</t>
    </r>
  </si>
  <si>
    <r>
      <rPr>
        <sz val="11"/>
        <rFont val="Arial"/>
        <family val="34"/>
      </rPr>
      <t>MJ/m3</t>
    </r>
  </si>
  <si>
    <t>Wood Charcoal</t>
  </si>
  <si>
    <t>Oil equivalent</t>
  </si>
  <si>
    <t>Source: Clark JA (1990), "Low cost, small-scale charcoal production in the Western Cape", UCT EBE MSc Thesis</t>
  </si>
  <si>
    <t>https://www.convertunits.com/from/tonne+of+oil+equivalent/to/TJ</t>
  </si>
  <si>
    <t>Short tonne</t>
  </si>
  <si>
    <t>ton/tonne</t>
  </si>
  <si>
    <t>https://www.convertunits.com/from/short+tons/to/metric+tons</t>
  </si>
  <si>
    <t>fuel gas</t>
  </si>
  <si>
    <t>total Production</t>
  </si>
  <si>
    <t>Moz sales</t>
  </si>
  <si>
    <t>external sales</t>
  </si>
  <si>
    <t>methane-rich</t>
  </si>
  <si>
    <t>ngas-Moz</t>
  </si>
  <si>
    <t>GAS - bcf</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</si>
  <si>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</si>
  <si>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</si>
  <si>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</si>
  <si>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</si>
  <si>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</si>
  <si>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</si>
  <si>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</si>
  <si>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Secunda</t>
    </r>
  </si>
  <si>
    <r>
      <rPr>
        <b/>
        <sz val="8"/>
        <color rgb="FF231F20"/>
        <rFont val="Arial"/>
        <family val="2"/>
      </rPr>
      <t>Sasolburg</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</si>
  <si>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</si>
  <si>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</si>
  <si>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</si>
  <si>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</si>
  <si>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</si>
  <si>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</si>
  <si>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</si>
  <si>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</si>
  <si>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</si>
  <si>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</si>
  <si>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</si>
  <si>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</si>
  <si>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</si>
  <si>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</si>
  <si>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</si>
  <si>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</si>
  <si>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</si>
  <si>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</si>
  <si>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</si>
  <si>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</si>
  <si>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</si>
  <si>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</si>
  <si>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</si>
  <si>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</si>
  <si>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</si>
  <si>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</si>
  <si>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</si>
  <si>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</si>
  <si>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</si>
  <si>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</si>
  <si>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</si>
  <si>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</si>
  <si>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</si>
  <si>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</si>
  <si>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</si>
  <si>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</si>
  <si>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</si>
  <si>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</si>
  <si>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</si>
  <si>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</si>
  <si>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</si>
  <si>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</si>
  <si>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</si>
  <si>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</si>
  <si>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</si>
  <si>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</si>
  <si>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</si>
  <si>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</si>
  <si>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</si>
  <si>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</si>
  <si>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</si>
  <si>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</si>
  <si>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</si>
  <si>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</si>
  <si>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</si>
  <si>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</si>
  <si>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</si>
  <si>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</si>
  <si>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</si>
  <si>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</si>
  <si>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</si>
  <si>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</si>
  <si>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</si>
  <si>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</si>
  <si>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</si>
  <si>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7"/>
        <color rgb="FF231F20"/>
        <rFont val="Arial"/>
        <family val="2"/>
      </rPr>
      <t xml:space="preserve">Footnotes
</t>
    </r>
    <r>
      <rPr>
        <b/>
        <sz val="6"/>
        <color rgb="FF231F20"/>
        <rFont val="Arial"/>
        <family val="2"/>
      </rPr>
      <t xml:space="preserve">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t>
    </r>
    <r>
      <rPr>
        <b/>
        <sz val="6"/>
        <color rgb="FF231F20"/>
        <rFont val="Arial"/>
        <family val="2"/>
      </rPr>
      <t xml:space="preserve">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t>
    </r>
    <r>
      <rPr>
        <b/>
        <sz val="6"/>
        <color rgb="FF231F20"/>
        <rFont val="Arial"/>
        <family val="2"/>
      </rPr>
      <t>provider has once again independently verified our direct and indirect emissions levels. Our GHG emission intensity (tons CO</t>
    </r>
    <r>
      <rPr>
        <b/>
        <vertAlign val="subscript"/>
        <sz val="3.5"/>
        <color rgb="FF231F20"/>
        <rFont val="Arial"/>
        <family val="2"/>
      </rPr>
      <t>2</t>
    </r>
    <r>
      <rPr>
        <b/>
        <sz val="6"/>
        <color rgb="FF231F20"/>
        <rFont val="Arial"/>
        <family val="2"/>
      </rPr>
      <t>e per ton of production – external sales) decreased to 3,61 in 2019 from 3,78 in 2018, due to an increase in the production – meant for external sale and a decrease in total GHG CO</t>
    </r>
    <r>
      <rPr>
        <b/>
        <vertAlign val="subscript"/>
        <sz val="3.5"/>
        <color rgb="FF231F20"/>
        <rFont val="Arial"/>
        <family val="2"/>
      </rPr>
      <t>2</t>
    </r>
    <r>
      <rPr>
        <b/>
        <sz val="6"/>
        <color rgb="FF231F20"/>
        <rFont val="Arial"/>
        <family val="2"/>
      </rPr>
      <t xml:space="preserve">e.
</t>
    </r>
    <r>
      <rPr>
        <b/>
        <sz val="6"/>
        <color rgb="FF231F20"/>
        <rFont val="Arial"/>
        <family val="2"/>
      </rPr>
      <t>3.     The reduced indirect CO</t>
    </r>
    <r>
      <rPr>
        <b/>
        <vertAlign val="subscript"/>
        <sz val="3.5"/>
        <color rgb="FF231F20"/>
        <rFont val="Arial"/>
        <family val="2"/>
      </rPr>
      <t xml:space="preserve">2  </t>
    </r>
    <r>
      <rPr>
        <b/>
        <sz val="6"/>
        <color rgb="FF231F20"/>
        <rFont val="Arial"/>
        <family val="2"/>
      </rPr>
      <t xml:space="preserve">Scope 2 emissions for this year are as a result of the Secunda Synfuels Operations total shutdown in September 2018, as well as less electricity purchased by Sasolburg Operations following increased own electricity generation.
</t>
    </r>
    <r>
      <rPr>
        <b/>
        <sz val="6"/>
        <color rgb="FF231F20"/>
        <rFont val="Arial"/>
        <family val="2"/>
      </rPr>
      <t>4.     Indirect carbon dioxide (CO</t>
    </r>
    <r>
      <rPr>
        <b/>
        <vertAlign val="subscript"/>
        <sz val="3.5"/>
        <color rgb="FF231F20"/>
        <rFont val="Arial"/>
        <family val="2"/>
      </rPr>
      <t>2</t>
    </r>
    <r>
      <rPr>
        <b/>
        <sz val="6"/>
        <color rgb="FF231F20"/>
        <rFont val="Arial"/>
        <family val="2"/>
      </rPr>
      <t xml:space="preserve">)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t>
    </r>
    <r>
      <rPr>
        <b/>
        <sz val="6"/>
        <color rgb="FF231F20"/>
        <rFont val="Arial"/>
        <family val="2"/>
      </rPr>
      <t>in our CDP submission available at www.sasol.com.</t>
    </r>
  </si>
  <si>
    <r>
      <rPr>
        <b/>
        <sz val="9"/>
        <color rgb="FF007DB6"/>
        <rFont val="Arial"/>
        <family val="2"/>
      </rPr>
      <t xml:space="preserve">32    </t>
    </r>
    <r>
      <rPr>
        <b/>
        <vertAlign val="superscript"/>
        <sz val="8"/>
        <color rgb="FF231F20"/>
        <rFont val="Arial"/>
        <family val="2"/>
      </rPr>
      <t>Sasol Climate Change Report 2019</t>
    </r>
  </si>
  <si>
    <t>SAR</t>
  </si>
  <si>
    <t>N20</t>
  </si>
  <si>
    <t>ch4</t>
  </si>
  <si>
    <t>TAR</t>
  </si>
  <si>
    <t>Tot Mass</t>
  </si>
  <si>
    <t>Tot prices (mass x unit price)</t>
  </si>
  <si>
    <t xml:space="preserve">ecoivent naming </t>
  </si>
  <si>
    <t>subcompartment</t>
  </si>
  <si>
    <t>Unit</t>
  </si>
  <si>
    <t xml:space="preserve">Unallocated 2017 </t>
  </si>
  <si>
    <t>Unallocated 2017  APV (kg, m3, m2, kWh)</t>
  </si>
  <si>
    <t>APV from Sasol's reports</t>
  </si>
  <si>
    <t>APV unit</t>
  </si>
  <si>
    <t>Prices €/kg (except for Natural gas, €/m3)</t>
  </si>
  <si>
    <t>Prices (mass x unit price)</t>
  </si>
  <si>
    <t>Economic allocation</t>
  </si>
  <si>
    <t>petrol, unleaded</t>
  </si>
  <si>
    <t>kg</t>
  </si>
  <si>
    <t>kton</t>
  </si>
  <si>
    <t>diesel, low sulphur</t>
  </si>
  <si>
    <t>liquified petroleum gas</t>
  </si>
  <si>
    <t>heavy fuel oil</t>
  </si>
  <si>
    <t>natural gas, high pressure (methane rich gas)</t>
  </si>
  <si>
    <t>Acetone, liquid</t>
  </si>
  <si>
    <t>methyl ethyl ketone</t>
  </si>
  <si>
    <t>Ethanol, withou water, in 99.7% solution state from ethylene</t>
  </si>
  <si>
    <t xml:space="preserve">1-Propanol </t>
  </si>
  <si>
    <t>iso-Buthanol</t>
  </si>
  <si>
    <t>1-Butanol</t>
  </si>
  <si>
    <t>chemical, organics</t>
  </si>
  <si>
    <t>ethylene, average</t>
  </si>
  <si>
    <t>propylene</t>
  </si>
  <si>
    <t>sulphur</t>
  </si>
  <si>
    <t>methanol</t>
  </si>
  <si>
    <t>butyl acrylate</t>
  </si>
  <si>
    <t>liquid fuels - black products (pitches and tars)</t>
  </si>
  <si>
    <t>ammonia, liquid</t>
  </si>
  <si>
    <t>Kton</t>
  </si>
  <si>
    <t>inert waste = non-hazardous waste (to disposal)</t>
  </si>
  <si>
    <t>hard coal ash</t>
  </si>
  <si>
    <t>Oxigen (air)</t>
  </si>
  <si>
    <t>air</t>
  </si>
  <si>
    <t>water (surface)</t>
  </si>
  <si>
    <t>raw water</t>
  </si>
  <si>
    <t>1000 m3</t>
  </si>
  <si>
    <t>land, occupation, industrial area</t>
  </si>
  <si>
    <t>land</t>
  </si>
  <si>
    <t>m2*a</t>
  </si>
  <si>
    <t>km2</t>
  </si>
  <si>
    <t>land, transformation to industrial area</t>
  </si>
  <si>
    <t>m2</t>
  </si>
  <si>
    <t>land, transformation from unspecified</t>
  </si>
  <si>
    <t>Carbon dioxide, fossil</t>
  </si>
  <si>
    <t>non-urban air or from high stakcs</t>
  </si>
  <si>
    <t>Water to air</t>
  </si>
  <si>
    <t>Sulfur oxides (Sox)</t>
  </si>
  <si>
    <t>Hydrogen sulfide (H2S)</t>
  </si>
  <si>
    <t>Nitrogen oxides (Nox)</t>
  </si>
  <si>
    <t>Particulates (fly-ash) &gt;10 micron</t>
  </si>
  <si>
    <t>VOC, volatile organic compounds</t>
  </si>
  <si>
    <t>Methane, fossil</t>
  </si>
  <si>
    <t>Water to water</t>
  </si>
  <si>
    <t>others (chemicals)</t>
  </si>
  <si>
    <t>petroleum refynery</t>
  </si>
  <si>
    <t>unit</t>
  </si>
  <si>
    <t>hard coal</t>
  </si>
  <si>
    <t>eletricity, medium voltage</t>
  </si>
  <si>
    <t>kWh</t>
  </si>
  <si>
    <t>MWh</t>
  </si>
  <si>
    <t>natural gas, high pressure</t>
  </si>
  <si>
    <t>Natural gas conversion calculation</t>
  </si>
  <si>
    <t>total process</t>
  </si>
  <si>
    <t>FT gas</t>
  </si>
  <si>
    <t xml:space="preserve"> CDP (2015/16)</t>
  </si>
  <si>
    <t>kg-&gt;m3</t>
  </si>
  <si>
    <t>Own Capacity</t>
  </si>
  <si>
    <t>Own Production</t>
  </si>
  <si>
    <t>Additional Analyst information for the the six months ended 31 December 2019</t>
  </si>
  <si>
    <t>FY2019</t>
  </si>
  <si>
    <t>secunda coal</t>
  </si>
  <si>
    <t>secunda GT</t>
  </si>
  <si>
    <t>sasolburg GE</t>
  </si>
  <si>
    <t>sasolburg coal</t>
  </si>
  <si>
    <t>source</t>
  </si>
  <si>
    <t>type</t>
  </si>
  <si>
    <t>satim</t>
  </si>
  <si>
    <t>tch_pwr</t>
  </si>
  <si>
    <t>steam for elec</t>
  </si>
  <si>
    <t>emissions</t>
  </si>
  <si>
    <t xml:space="preserve"> steam share</t>
  </si>
  <si>
    <t>eskom</t>
  </si>
  <si>
    <t>tch_sup</t>
  </si>
  <si>
    <t>3a</t>
  </si>
  <si>
    <t>steam for drives</t>
  </si>
  <si>
    <t>3b</t>
  </si>
  <si>
    <t>steam for gasifiers</t>
  </si>
  <si>
    <t>process emissions</t>
  </si>
  <si>
    <t>secunda total</t>
  </si>
  <si>
    <t>Combustion emissions</t>
  </si>
  <si>
    <t>5a</t>
  </si>
  <si>
    <t>flaring - CO2 (from NIR 2017 submission)</t>
  </si>
  <si>
    <t>5b</t>
  </si>
  <si>
    <t>FT- Rectisol</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</si>
  <si>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</si>
  <si>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FT -Benfield</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</si>
  <si>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</si>
  <si>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tch-SUP</t>
  </si>
  <si>
    <t>FT -boiler emissions</t>
  </si>
  <si>
    <t>FT -non-boiler emissions</t>
  </si>
  <si>
    <t>CO2eq (Mt)</t>
  </si>
  <si>
    <t>tonnes</t>
  </si>
  <si>
    <t>Total CO2eq (Mt)</t>
  </si>
  <si>
    <t>IPCC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</si>
</sst>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0;###0"/>
    <numFmt numFmtId="165" formatCode="dd\ mm\ yyyy;@"/>
    <numFmt numFmtId="166" formatCode="###0.0;###0.0"/>
    <numFmt numFmtId="167" formatCode="###0.00;###0.00"/>
    <numFmt numFmtId="168" formatCode="0.0%"/>
    <numFmt numFmtId="169" formatCode="[$£-809]#,##0.00;[Red]&quot;-&quot;[$£-809]#,##0.00"/>
    <numFmt numFmtId="170" formatCode="_ * #,##0_ ;_ * \-#,##0_ ;_ * &quot;-&quot;??_ ;_ @_ "/>
    <numFmt numFmtId="171" formatCode="_ * #,##0.0_ ;_ * \-#,##0.0_ ;_ * &quot;-&quot;??_ ;_ @_ "/>
    <numFmt numFmtId="172" formatCode="_ * #,##0.000_ ;_ * \-#,##0.000_ ;_ * &quot;-&quot;??_ ;_ @_ "/>
    <numFmt numFmtId="173" formatCode="0.0"/>
    <numFmt numFmtId="174" formatCode="_-* #,##0.0_-;\-* #,##0.0_-;_-* &quot;-&quot;?????????_-;_-@_-"/>
    <numFmt numFmtId="175" formatCode="0.000"/>
    <numFmt numFmtId="176" formatCode="0##########"/>
    <numFmt numFmtId="177" formatCode="_ * #,##0.00_ ;_ * \-#,##0.00_ ;_ * &quot;-&quot;??_ ;_ @_ "/>
    <numFmt numFmtId="178" formatCode="_(* #,##0.00_);_(* \(#,##0.00\);_(* &quot;-&quot;??_);_(@_)"/>
    <numFmt numFmtId="179" formatCode="_ * #,##0.0000_ ;_ * \-#,##0.0000_ ;_ * &quot;-&quot;??_ ;_ @_ "/>
    <numFmt numFmtId="180" formatCode="0.00000"/>
    <numFmt numFmtId="181" formatCode="0.0000000"/>
  </numFmts>
  <fonts count="51" x14ac:knownFonts="1">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name val="Arial"/>
      <family val="2"/>
    </font>
    <font>
      <b/>
      <sz val="10"/>
      <name val="Arial"/>
      <family val="2"/>
    </font>
    <font>
      <sz val="10"/>
      <name val="Arial"/>
      <family val="2"/>
    </font>
    <font>
      <sz val="10"/>
      <color rgb="FF000000"/>
      <name val="Arial"/>
      <family val="2"/>
    </font>
    <font>
      <b/>
      <sz val="9"/>
      <name val="Arial"/>
      <family val="2"/>
    </font>
    <font>
      <sz val="9"/>
      <name val="Arial"/>
      <family val="2"/>
    </font>
    <font>
      <sz val="9"/>
      <color rgb="FF000000"/>
      <name val="Arial"/>
      <family val="2"/>
    </font>
    <font>
      <b/>
      <sz val="6"/>
      <name val="Arial"/>
      <family val="2"/>
    </font>
    <font>
      <sz val="6"/>
      <name val="Arial"/>
      <family val="2"/>
    </font>
    <font>
      <sz val="10"/>
      <color rgb="FF000000"/>
      <name val="Times New Roman"/>
      <family val="1"/>
    </font>
    <font>
      <b/>
      <sz val="11"/>
      <color theme="1"/>
      <name val="Calibri"/>
      <family val="2"/>
      <scheme val="minor"/>
    </font>
    <font>
      <b/>
      <sz val="10"/>
      <color rgb="FFFF0000"/>
      <name val="Times New Roman"/>
      <family val="1"/>
    </font>
    <font>
      <sz val="9"/>
      <color indexed="81"/>
      <name val="Tahoma"/>
      <family val="2"/>
    </font>
    <font>
      <b/>
      <sz val="9"/>
      <color indexed="81"/>
      <name val="Tahoma"/>
      <family val="2"/>
    </font>
    <font>
      <b/>
      <sz val="10"/>
      <color rgb="FF000000"/>
      <name val="Times New Roman"/>
      <family val="1"/>
    </font>
    <font>
      <b/>
      <sz val="9"/>
      <color rgb="FF000000"/>
      <name val="Arial"/>
      <family val="2"/>
    </font>
    <font>
      <u/>
      <sz val="10"/>
      <color theme="10"/>
      <name val="Times New Roman"/>
      <family val="1"/>
    </font>
    <font>
      <sz val="8"/>
      <name val="Times New Roman"/>
      <family val="1"/>
    </font>
    <font>
      <b/>
      <u/>
      <sz val="11"/>
      <color theme="1"/>
      <name val="Calibri"/>
      <family val="2"/>
      <scheme val="minor"/>
    </font>
    <font>
      <sz val="12"/>
      <color theme="1"/>
      <name val="Calibri"/>
      <family val="2"/>
      <scheme val="minor"/>
    </font>
    <font>
      <sz val="11"/>
      <name val="Calibri"/>
      <family val="2"/>
      <scheme val="minor"/>
    </font>
    <font>
      <b/>
      <sz val="11"/>
      <color theme="0"/>
      <name val="Calibri"/>
      <family val="2"/>
      <scheme val="minor"/>
    </font>
    <font>
      <b/>
      <sz val="9"/>
      <color indexed="8"/>
      <name val="Arial"/>
      <family val="2"/>
    </font>
    <font>
      <b/>
      <sz val="12"/>
      <color rgb="FF7030A0"/>
      <name val="Times New Roman"/>
      <family val="1"/>
    </font>
    <font>
      <b/>
      <i/>
      <sz val="11"/>
      <color theme="1"/>
      <name val="Calibri"/>
      <family val="2"/>
      <scheme val="minor"/>
    </font>
    <font>
      <i/>
      <sz val="11"/>
      <color indexed="8"/>
      <name val="Calibri"/>
      <family val="2"/>
    </font>
    <font>
      <b/>
      <sz val="12"/>
      <color theme="1"/>
      <name val="Calibri"/>
      <family val="2"/>
      <scheme val="minor"/>
    </font>
    <font>
      <sz val="11"/>
      <color rgb="FF9C6500"/>
      <name val="Calibri"/>
      <family val="2"/>
      <scheme val="minor"/>
    </font>
    <font>
      <b/>
      <sz val="14"/>
      <color theme="1"/>
      <name val="Calibri"/>
      <family val="2"/>
      <scheme val="minor"/>
    </font>
    <font>
      <sz val="11"/>
      <name val="Arial"/>
      <family val="34"/>
    </font>
    <font>
      <b/>
      <sz val="10"/>
      <color rgb="FF007DB6"/>
      <name val="Arial"/>
      <family val="2"/>
    </font>
    <font>
      <b/>
      <sz val="19"/>
      <color rgb="FF007DB6"/>
      <name val="Arial"/>
      <family val="2"/>
    </font>
    <font>
      <b/>
      <sz val="12"/>
      <color rgb="FF007DB6"/>
      <name val="Arial"/>
      <family val="2"/>
    </font>
    <font>
      <b/>
      <sz val="8"/>
      <name val="Arial"/>
      <family val="2"/>
    </font>
    <font>
      <b/>
      <sz val="8"/>
      <color rgb="FF231F20"/>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7"/>
      <color rgb="FF231F20"/>
      <name val="Arial"/>
      <family val="2"/>
    </font>
    <font>
      <b/>
      <sz val="6"/>
      <color rgb="FF231F20"/>
      <name val="Arial"/>
      <family val="2"/>
    </font>
    <font>
      <b/>
      <vertAlign val="subscript"/>
      <sz val="3.5"/>
      <color rgb="FF231F20"/>
      <name val="Arial"/>
      <family val="2"/>
    </font>
    <font>
      <sz val="12"/>
      <color rgb="FF000000"/>
      <name val="Calibri"/>
      <family val="2"/>
      <scheme val="minor"/>
    </font>
  </fonts>
  <fills count="26">
    <fill>
      <patternFill patternType="none"/>
    </fill>
    <fill>
      <patternFill patternType="gray125"/>
    </fill>
    <fill>
      <patternFill patternType="solid">
        <fgColor theme="0" tint="-0.14999847407452621"/>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59999389629810485"/>
        <bgColor theme="4" tint="0.59999389629810485"/>
      </patternFill>
    </fill>
    <fill>
      <patternFill patternType="solid">
        <fgColor theme="8" tint="0.59999389629810485"/>
        <bgColor indexed="64"/>
      </patternFill>
    </fill>
    <fill>
      <patternFill patternType="solid">
        <fgColor rgb="FFFFEB9C"/>
      </patternFill>
    </fill>
    <fill>
      <patternFill patternType="solid">
        <fgColor indexed="44"/>
        <bgColor indexed="64"/>
      </patternFill>
    </fill>
    <fill>
      <patternFill patternType="solid">
        <fgColor rgb="FFFFFF0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FF"/>
      </patternFill>
    </fill>
    <fill>
      <patternFill patternType="solid">
        <fgColor rgb="FF003862"/>
      </patternFill>
    </fill>
    <fill>
      <patternFill patternType="solid">
        <fgColor rgb="FFE6E7E8"/>
      </patternFill>
    </fill>
    <fill>
      <patternFill patternType="solid">
        <fgColor rgb="FFFFC000"/>
        <bgColor indexed="64"/>
      </patternFill>
    </fill>
    <fill>
      <patternFill patternType="solid">
        <fgColor rgb="FF92D050"/>
        <bgColor indexed="64"/>
      </patternFill>
    </fill>
    <fill>
      <patternFill patternType="solid">
        <fgColor rgb="FF92D050"/>
        <bgColor rgb="FF000000"/>
      </patternFill>
    </fill>
    <fill>
      <patternFill patternType="solid">
        <fgColor rgb="FFFF0000"/>
        <bgColor indexed="64"/>
      </patternFill>
    </fill>
    <fill>
      <patternFill patternType="solid">
        <fgColor theme="9" tint="0.59999389629810485"/>
        <bgColor theme="4" tint="0.59999389629810485"/>
      </patternFill>
    </fill>
    <fill>
      <patternFill patternType="solid">
        <fgColor theme="6" tint="0.39997558519241921"/>
        <bgColor indexed="64"/>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left>
      <right style="thin">
        <color theme="0"/>
      </right>
      <top style="thin">
        <color theme="0"/>
      </top>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theme="0"/>
      </left>
      <right style="thin">
        <color theme="0"/>
      </right>
      <top style="medium">
        <color auto="1"/>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right/>
      <top/>
      <bottom style="thin">
        <color indexed="64"/>
      </bottom>
      <diagonal/>
    </border>
  </borders>
  <cellStyleXfs count="19">
    <xf numFmtId="0" fontId="0" fillId="0" borderId="0"/>
    <xf numFmtId="9" fontId="15" fillId="0" borderId="0" applyFont="0" applyFill="0" applyBorder="0" applyAlignment="0" applyProtection="0"/>
    <xf numFmtId="0" fontId="5" fillId="0" borderId="0"/>
    <xf numFmtId="9" fontId="5" fillId="0" borderId="0" applyFont="0" applyFill="0" applyBorder="0" applyAlignment="0" applyProtection="0"/>
    <xf numFmtId="0" fontId="22" fillId="0" borderId="0" applyNumberFormat="0" applyFill="0" applyBorder="0" applyAlignment="0" applyProtection="0"/>
    <xf numFmtId="0" fontId="25" fillId="0" borderId="0"/>
    <xf numFmtId="0" fontId="3" fillId="0" borderId="0"/>
    <xf numFmtId="0" fontId="8" fillId="0" borderId="0"/>
    <xf numFmtId="177" fontId="3" fillId="0" borderId="0" applyFont="0" applyFill="0" applyBorder="0" applyAlignment="0" applyProtection="0"/>
    <xf numFmtId="9" fontId="3" fillId="0" borderId="0" applyFont="0" applyFill="0" applyBorder="0" applyAlignment="0" applyProtection="0"/>
    <xf numFmtId="0" fontId="33" fillId="9" borderId="0" applyNumberFormat="0" applyBorder="0" applyAlignment="0" applyProtection="0"/>
    <xf numFmtId="178" fontId="3" fillId="0" borderId="0" applyFont="0" applyFill="0" applyBorder="0" applyAlignment="0" applyProtection="0"/>
    <xf numFmtId="0" fontId="3" fillId="0" borderId="0"/>
    <xf numFmtId="0" fontId="33" fillId="9" borderId="0" applyNumberFormat="0" applyBorder="0" applyAlignment="0" applyProtection="0"/>
    <xf numFmtId="9" fontId="3" fillId="0" borderId="0" applyFont="0" applyFill="0" applyBorder="0" applyAlignment="0" applyProtection="0"/>
    <xf numFmtId="178" fontId="3" fillId="0" borderId="0" applyFont="0" applyFill="0" applyBorder="0" applyAlignment="0" applyProtection="0"/>
    <xf numFmtId="0" fontId="15" fillId="0" borderId="0"/>
    <xf numFmtId="0" fontId="15" fillId="0" borderId="0"/>
    <xf numFmtId="0" fontId="1" fillId="0" borderId="0"/>
  </cellStyleXfs>
  <cellXfs count="299">
    <xf numFmtId="0" fontId="0" fillId="0" borderId="0" xfId="0" applyFill="1" applyBorder="1" applyAlignment="1">
      <alignment horizontal="left" vertical="top"/>
    </xf>
    <xf numFmtId="0" fontId="6" fillId="0" borderId="0" xfId="0" applyFont="1" applyFill="1" applyBorder="1" applyAlignment="1">
      <alignment horizontal="left" vertical="top"/>
    </xf>
    <xf numFmtId="0" fontId="10" fillId="0" borderId="1" xfId="0" applyFont="1" applyFill="1" applyBorder="1" applyAlignment="1">
      <alignment horizontal="left" vertical="top" wrapText="1"/>
    </xf>
    <xf numFmtId="0" fontId="15" fillId="0" borderId="0" xfId="0" applyFont="1" applyFill="1" applyBorder="1" applyAlignment="1">
      <alignment horizontal="left" vertical="top"/>
    </xf>
    <xf numFmtId="168" fontId="0" fillId="0" borderId="0" xfId="1" applyNumberFormat="1" applyFont="1" applyFill="1" applyBorder="1" applyAlignment="1">
      <alignment horizontal="left" vertical="top"/>
    </xf>
    <xf numFmtId="0" fontId="17" fillId="0" borderId="0" xfId="0" applyFont="1" applyFill="1" applyBorder="1" applyAlignment="1">
      <alignment horizontal="left" vertical="top"/>
    </xf>
    <xf numFmtId="0" fontId="16" fillId="2" borderId="0" xfId="0" applyFont="1" applyFill="1"/>
    <xf numFmtId="0" fontId="16" fillId="0" borderId="0" xfId="0" applyFont="1"/>
    <xf numFmtId="0" fontId="0" fillId="0" borderId="0" xfId="0"/>
    <xf numFmtId="1" fontId="0" fillId="0" borderId="0" xfId="0" applyNumberFormat="1" applyFill="1" applyBorder="1" applyAlignment="1">
      <alignment horizontal="left" vertical="top"/>
    </xf>
    <xf numFmtId="2" fontId="0" fillId="0" borderId="0" xfId="0" applyNumberFormat="1" applyFill="1" applyBorder="1" applyAlignment="1">
      <alignment horizontal="left" vertical="top"/>
    </xf>
    <xf numFmtId="0" fontId="11" fillId="3" borderId="1" xfId="0" applyFont="1" applyFill="1" applyBorder="1" applyAlignment="1">
      <alignment horizontal="left" vertical="top" wrapText="1"/>
    </xf>
    <xf numFmtId="164" fontId="12" fillId="3" borderId="1" xfId="0" applyNumberFormat="1" applyFont="1" applyFill="1" applyBorder="1" applyAlignment="1">
      <alignment horizontal="left" vertical="top" wrapText="1"/>
    </xf>
    <xf numFmtId="164" fontId="12" fillId="3" borderId="1" xfId="0" applyNumberFormat="1" applyFont="1" applyFill="1" applyBorder="1" applyAlignment="1">
      <alignment horizontal="right" vertical="top" wrapText="1"/>
    </xf>
    <xf numFmtId="0" fontId="11" fillId="4" borderId="1" xfId="0" applyFont="1" applyFill="1" applyBorder="1" applyAlignment="1">
      <alignment horizontal="left" vertical="top" wrapText="1"/>
    </xf>
    <xf numFmtId="0" fontId="11" fillId="4" borderId="1" xfId="0" applyFont="1" applyFill="1" applyBorder="1" applyAlignment="1">
      <alignment horizontal="right" vertical="top" wrapText="1"/>
    </xf>
    <xf numFmtId="164" fontId="12" fillId="4" borderId="1" xfId="0" applyNumberFormat="1" applyFont="1" applyFill="1" applyBorder="1" applyAlignment="1">
      <alignment horizontal="left" vertical="top" wrapText="1"/>
    </xf>
    <xf numFmtId="164" fontId="12" fillId="4" borderId="1" xfId="0" applyNumberFormat="1" applyFont="1" applyFill="1" applyBorder="1" applyAlignment="1">
      <alignment horizontal="right" vertical="top" wrapText="1"/>
    </xf>
    <xf numFmtId="0" fontId="0" fillId="3" borderId="1" xfId="0" applyFill="1" applyBorder="1" applyAlignment="1">
      <alignment horizontal="left" vertical="top" wrapText="1"/>
    </xf>
    <xf numFmtId="0" fontId="11" fillId="5" borderId="1" xfId="0" applyFont="1" applyFill="1" applyBorder="1" applyAlignment="1">
      <alignment horizontal="left" vertical="top" wrapText="1"/>
    </xf>
    <xf numFmtId="164" fontId="12" fillId="5" borderId="1" xfId="0" applyNumberFormat="1" applyFont="1" applyFill="1" applyBorder="1" applyAlignment="1">
      <alignment horizontal="right" vertical="top" wrapText="1"/>
    </xf>
    <xf numFmtId="164" fontId="12" fillId="5" borderId="1" xfId="0" applyNumberFormat="1" applyFont="1" applyFill="1" applyBorder="1" applyAlignment="1">
      <alignment horizontal="left" vertical="top" wrapText="1"/>
    </xf>
    <xf numFmtId="0" fontId="0" fillId="5" borderId="1" xfId="0" applyFill="1" applyBorder="1" applyAlignment="1">
      <alignment horizontal="left" vertical="top" wrapText="1"/>
    </xf>
    <xf numFmtId="0" fontId="11" fillId="5" borderId="1" xfId="0" applyFont="1" applyFill="1" applyBorder="1" applyAlignment="1">
      <alignment horizontal="left" vertical="center" wrapText="1"/>
    </xf>
    <xf numFmtId="164" fontId="12" fillId="5" borderId="1" xfId="0" applyNumberFormat="1" applyFont="1" applyFill="1" applyBorder="1" applyAlignment="1">
      <alignment horizontal="right" vertical="center" wrapText="1"/>
    </xf>
    <xf numFmtId="166" fontId="12" fillId="3" borderId="1" xfId="0" applyNumberFormat="1" applyFont="1" applyFill="1" applyBorder="1" applyAlignment="1">
      <alignment horizontal="left" vertical="top" wrapText="1"/>
    </xf>
    <xf numFmtId="167" fontId="12" fillId="3" borderId="1" xfId="0" applyNumberFormat="1" applyFont="1" applyFill="1" applyBorder="1" applyAlignment="1">
      <alignment horizontal="left" vertical="top" wrapText="1"/>
    </xf>
    <xf numFmtId="0" fontId="11" fillId="6" borderId="1" xfId="0" applyFont="1" applyFill="1" applyBorder="1" applyAlignment="1">
      <alignment horizontal="left" vertical="top" wrapText="1"/>
    </xf>
    <xf numFmtId="0" fontId="0" fillId="6" borderId="1" xfId="0" applyFill="1" applyBorder="1" applyAlignment="1">
      <alignment horizontal="left" vertical="top" wrapText="1"/>
    </xf>
    <xf numFmtId="164" fontId="12" fillId="6" borderId="1" xfId="0" applyNumberFormat="1" applyFont="1" applyFill="1" applyBorder="1" applyAlignment="1">
      <alignment horizontal="right" vertical="top" wrapText="1"/>
    </xf>
    <xf numFmtId="0" fontId="11" fillId="6" borderId="1" xfId="0" applyFont="1" applyFill="1" applyBorder="1" applyAlignment="1">
      <alignment horizontal="left" vertical="center" wrapText="1"/>
    </xf>
    <xf numFmtId="164" fontId="12" fillId="6" borderId="1" xfId="0" applyNumberFormat="1" applyFont="1" applyFill="1" applyBorder="1" applyAlignment="1">
      <alignment horizontal="right" vertical="center" wrapText="1"/>
    </xf>
    <xf numFmtId="164" fontId="12" fillId="6" borderId="1" xfId="0" applyNumberFormat="1" applyFont="1" applyFill="1" applyBorder="1" applyAlignment="1">
      <alignment horizontal="left" vertical="top" wrapText="1"/>
    </xf>
    <xf numFmtId="0" fontId="10" fillId="6" borderId="1" xfId="0" applyFont="1" applyFill="1" applyBorder="1" applyAlignment="1">
      <alignment horizontal="left" vertical="top" wrapText="1"/>
    </xf>
    <xf numFmtId="0" fontId="20" fillId="6" borderId="1" xfId="0" applyFont="1" applyFill="1" applyBorder="1" applyAlignment="1">
      <alignment horizontal="left" vertical="top" wrapText="1"/>
    </xf>
    <xf numFmtId="164" fontId="21" fillId="6" borderId="1" xfId="0" applyNumberFormat="1" applyFont="1" applyFill="1" applyBorder="1" applyAlignment="1">
      <alignment horizontal="right" vertical="top" wrapText="1"/>
    </xf>
    <xf numFmtId="0" fontId="7" fillId="6" borderId="1" xfId="0" applyFont="1" applyFill="1" applyBorder="1" applyAlignment="1">
      <alignment horizontal="left" vertical="top" wrapText="1"/>
    </xf>
    <xf numFmtId="0" fontId="22" fillId="0" borderId="0" xfId="4" applyFill="1" applyBorder="1" applyAlignment="1">
      <alignment horizontal="left" vertical="top"/>
    </xf>
    <xf numFmtId="169" fontId="0" fillId="0" borderId="0" xfId="0" applyNumberFormat="1"/>
    <xf numFmtId="2" fontId="0" fillId="0" borderId="0" xfId="0" applyNumberFormat="1"/>
    <xf numFmtId="9" fontId="0" fillId="0" borderId="0" xfId="0" applyNumberFormat="1" applyFill="1" applyBorder="1" applyAlignment="1">
      <alignment horizontal="left" vertical="top"/>
    </xf>
    <xf numFmtId="0" fontId="15" fillId="0" borderId="0" xfId="0" applyFont="1" applyFill="1" applyBorder="1" applyAlignment="1">
      <alignment horizontal="right" vertical="top"/>
    </xf>
    <xf numFmtId="0" fontId="0" fillId="0" borderId="0" xfId="0" applyFill="1" applyBorder="1" applyAlignment="1">
      <alignment horizontal="right" vertical="top"/>
    </xf>
    <xf numFmtId="169" fontId="15" fillId="0" borderId="0" xfId="0" applyNumberFormat="1" applyFont="1" applyAlignment="1">
      <alignment horizontal="right"/>
    </xf>
    <xf numFmtId="0" fontId="0" fillId="4" borderId="0" xfId="0" applyFill="1" applyBorder="1" applyAlignment="1">
      <alignment horizontal="left" vertical="top"/>
    </xf>
    <xf numFmtId="0" fontId="24" fillId="0" borderId="0" xfId="0" applyFont="1"/>
    <xf numFmtId="0" fontId="0" fillId="0" borderId="0" xfId="0" applyAlignment="1">
      <alignment horizontal="right"/>
    </xf>
    <xf numFmtId="0" fontId="0" fillId="0" borderId="0" xfId="0" applyFill="1" applyBorder="1" applyAlignment="1">
      <alignment vertical="top"/>
    </xf>
    <xf numFmtId="0" fontId="0" fillId="0" borderId="0" xfId="0" applyAlignment="1">
      <alignment horizontal="left"/>
    </xf>
    <xf numFmtId="170" fontId="26" fillId="7" borderId="8" xfId="5" applyNumberFormat="1" applyFont="1" applyFill="1" applyBorder="1" applyAlignment="1">
      <alignment vertical="center" wrapText="1"/>
    </xf>
    <xf numFmtId="0" fontId="0" fillId="8" borderId="0" xfId="0" applyFill="1" applyBorder="1" applyAlignment="1">
      <alignment horizontal="left" vertical="top"/>
    </xf>
    <xf numFmtId="0" fontId="15" fillId="8" borderId="0" xfId="0" applyFont="1" applyFill="1" applyBorder="1" applyAlignment="1">
      <alignment horizontal="left" vertical="top"/>
    </xf>
    <xf numFmtId="43" fontId="0" fillId="8" borderId="0" xfId="0" applyNumberFormat="1" applyFill="1" applyBorder="1" applyAlignment="1">
      <alignment horizontal="left" vertical="top"/>
    </xf>
    <xf numFmtId="0" fontId="15" fillId="4" borderId="0" xfId="0" applyFont="1" applyFill="1" applyBorder="1" applyAlignment="1">
      <alignment horizontal="left" vertical="top"/>
    </xf>
    <xf numFmtId="174" fontId="11" fillId="3" borderId="1" xfId="0" applyNumberFormat="1" applyFont="1" applyFill="1" applyBorder="1" applyAlignment="1">
      <alignment horizontal="left" vertical="top" wrapText="1"/>
    </xf>
    <xf numFmtId="174" fontId="0" fillId="0" borderId="0" xfId="0" applyNumberFormat="1" applyFill="1" applyBorder="1" applyAlignment="1">
      <alignment horizontal="left" vertical="top"/>
    </xf>
    <xf numFmtId="2" fontId="0" fillId="4" borderId="0" xfId="0" applyNumberFormat="1" applyFill="1" applyBorder="1" applyAlignment="1">
      <alignment horizontal="left" vertical="top"/>
    </xf>
    <xf numFmtId="0" fontId="28" fillId="10" borderId="9" xfId="6" applyFont="1" applyFill="1" applyBorder="1"/>
    <xf numFmtId="0" fontId="28" fillId="10" borderId="9" xfId="6" applyFont="1" applyFill="1" applyBorder="1" applyAlignment="1">
      <alignment wrapText="1"/>
    </xf>
    <xf numFmtId="0" fontId="16" fillId="11" borderId="10" xfId="6" applyFont="1" applyFill="1" applyBorder="1"/>
    <xf numFmtId="175" fontId="10" fillId="10" borderId="9" xfId="6" applyNumberFormat="1" applyFont="1" applyFill="1" applyBorder="1" applyAlignment="1">
      <alignment wrapText="1"/>
    </xf>
    <xf numFmtId="0" fontId="3" fillId="0" borderId="0" xfId="6"/>
    <xf numFmtId="0" fontId="11" fillId="0" borderId="11" xfId="6" quotePrefix="1" applyFont="1" applyBorder="1" applyAlignment="1">
      <alignment horizontal="left" wrapText="1"/>
    </xf>
    <xf numFmtId="0" fontId="11" fillId="0" borderId="12" xfId="6" quotePrefix="1" applyFont="1" applyBorder="1" applyAlignment="1">
      <alignment horizontal="left" wrapText="1"/>
    </xf>
    <xf numFmtId="0" fontId="3" fillId="11" borderId="13" xfId="6" applyFill="1" applyBorder="1"/>
    <xf numFmtId="0" fontId="11" fillId="0" borderId="11" xfId="6" quotePrefix="1" applyFont="1" applyBorder="1" applyAlignment="1">
      <alignment horizontal="right" wrapText="1"/>
    </xf>
    <xf numFmtId="4" fontId="11" fillId="0" borderId="12" xfId="6" quotePrefix="1" applyNumberFormat="1" applyFont="1" applyBorder="1" applyAlignment="1">
      <alignment horizontal="right" wrapText="1"/>
    </xf>
    <xf numFmtId="0" fontId="11" fillId="0" borderId="14" xfId="6" quotePrefix="1" applyFont="1" applyBorder="1" applyAlignment="1">
      <alignment horizontal="left" wrapText="1"/>
    </xf>
    <xf numFmtId="0" fontId="11" fillId="0" borderId="15" xfId="6" quotePrefix="1" applyFont="1" applyBorder="1" applyAlignment="1">
      <alignment horizontal="left" wrapText="1"/>
    </xf>
    <xf numFmtId="0" fontId="11" fillId="0" borderId="16" xfId="6" quotePrefix="1" applyFont="1" applyBorder="1" applyAlignment="1">
      <alignment horizontal="left" wrapText="1"/>
    </xf>
    <xf numFmtId="0" fontId="3" fillId="11" borderId="17" xfId="6" applyFill="1" applyBorder="1"/>
    <xf numFmtId="0" fontId="11" fillId="0" borderId="15" xfId="6" quotePrefix="1" applyFont="1" applyBorder="1" applyAlignment="1">
      <alignment horizontal="right" wrapText="1"/>
    </xf>
    <xf numFmtId="4" fontId="11" fillId="0" borderId="16" xfId="6" quotePrefix="1" applyNumberFormat="1" applyFont="1" applyBorder="1" applyAlignment="1">
      <alignment horizontal="right" wrapText="1"/>
    </xf>
    <xf numFmtId="176" fontId="11" fillId="0" borderId="15" xfId="6" quotePrefix="1" applyNumberFormat="1" applyFont="1" applyBorder="1" applyAlignment="1">
      <alignment horizontal="left" wrapText="1"/>
    </xf>
    <xf numFmtId="4" fontId="11" fillId="0" borderId="15" xfId="6" quotePrefix="1" applyNumberFormat="1" applyFont="1" applyBorder="1" applyAlignment="1">
      <alignment horizontal="right" wrapText="1"/>
    </xf>
    <xf numFmtId="0" fontId="11" fillId="0" borderId="18" xfId="6" quotePrefix="1" applyFont="1" applyBorder="1" applyAlignment="1">
      <alignment horizontal="left" wrapText="1"/>
    </xf>
    <xf numFmtId="0" fontId="11" fillId="0" borderId="19" xfId="6" quotePrefix="1" applyFont="1" applyBorder="1" applyAlignment="1">
      <alignment horizontal="left" wrapText="1"/>
    </xf>
    <xf numFmtId="0" fontId="3" fillId="11" borderId="20" xfId="6" applyFill="1" applyBorder="1"/>
    <xf numFmtId="0" fontId="11" fillId="0" borderId="18" xfId="6" quotePrefix="1" applyFont="1" applyBorder="1" applyAlignment="1">
      <alignment horizontal="right" wrapText="1"/>
    </xf>
    <xf numFmtId="4" fontId="11" fillId="0" borderId="18" xfId="6" quotePrefix="1" applyNumberFormat="1" applyFont="1" applyBorder="1" applyAlignment="1">
      <alignment horizontal="right" wrapText="1"/>
    </xf>
    <xf numFmtId="4" fontId="11" fillId="0" borderId="19" xfId="6" quotePrefix="1" applyNumberFormat="1" applyFont="1" applyBorder="1" applyAlignment="1">
      <alignment horizontal="right" wrapText="1"/>
    </xf>
    <xf numFmtId="4" fontId="3" fillId="0" borderId="0" xfId="6" applyNumberFormat="1"/>
    <xf numFmtId="0" fontId="8" fillId="0" borderId="0" xfId="7"/>
    <xf numFmtId="0" fontId="29" fillId="0" borderId="0" xfId="0" applyFont="1" applyFill="1" applyBorder="1" applyAlignment="1">
      <alignment horizontal="left" vertical="top"/>
    </xf>
    <xf numFmtId="9" fontId="0" fillId="0" borderId="0" xfId="1" applyFont="1" applyFill="1" applyBorder="1" applyAlignment="1">
      <alignment horizontal="left" vertical="top"/>
    </xf>
    <xf numFmtId="0" fontId="30" fillId="0" borderId="0" xfId="6" applyFont="1"/>
    <xf numFmtId="0" fontId="3" fillId="12" borderId="0" xfId="6" applyFill="1"/>
    <xf numFmtId="0" fontId="16" fillId="0" borderId="0" xfId="6" applyFont="1"/>
    <xf numFmtId="0" fontId="16" fillId="13" borderId="24" xfId="6" applyFont="1" applyFill="1" applyBorder="1"/>
    <xf numFmtId="0" fontId="16" fillId="13" borderId="0" xfId="6" applyFont="1" applyFill="1"/>
    <xf numFmtId="0" fontId="16" fillId="13" borderId="25" xfId="6" applyFont="1" applyFill="1" applyBorder="1"/>
    <xf numFmtId="0" fontId="16" fillId="12" borderId="0" xfId="6" applyFont="1" applyFill="1"/>
    <xf numFmtId="0" fontId="3" fillId="13" borderId="25" xfId="6" applyFill="1" applyBorder="1"/>
    <xf numFmtId="0" fontId="3" fillId="13" borderId="24" xfId="6" applyFill="1" applyBorder="1"/>
    <xf numFmtId="0" fontId="3" fillId="13" borderId="0" xfId="6" applyFill="1"/>
    <xf numFmtId="171" fontId="3" fillId="13" borderId="25" xfId="8" applyNumberFormat="1" applyFont="1" applyFill="1" applyBorder="1"/>
    <xf numFmtId="171" fontId="3" fillId="0" borderId="0" xfId="8" applyNumberFormat="1" applyFont="1"/>
    <xf numFmtId="171" fontId="3" fillId="12" borderId="0" xfId="8" applyNumberFormat="1" applyFont="1" applyFill="1"/>
    <xf numFmtId="173" fontId="3" fillId="13" borderId="24" xfId="6" applyNumberFormat="1" applyFill="1" applyBorder="1"/>
    <xf numFmtId="173" fontId="3" fillId="13" borderId="0" xfId="6" applyNumberFormat="1" applyFill="1"/>
    <xf numFmtId="0" fontId="16" fillId="0" borderId="26" xfId="6" applyFont="1" applyBorder="1"/>
    <xf numFmtId="173" fontId="16" fillId="13" borderId="27" xfId="6" applyNumberFormat="1" applyFont="1" applyFill="1" applyBorder="1"/>
    <xf numFmtId="0" fontId="16" fillId="13" borderId="26" xfId="6" applyFont="1" applyFill="1" applyBorder="1"/>
    <xf numFmtId="171" fontId="16" fillId="13" borderId="28" xfId="8" applyNumberFormat="1" applyFont="1" applyFill="1" applyBorder="1"/>
    <xf numFmtId="171" fontId="16" fillId="0" borderId="26" xfId="8" applyNumberFormat="1" applyFont="1" applyBorder="1"/>
    <xf numFmtId="171" fontId="16" fillId="12" borderId="26" xfId="8" applyNumberFormat="1" applyFont="1" applyFill="1" applyBorder="1"/>
    <xf numFmtId="173" fontId="3" fillId="13" borderId="25" xfId="8" applyNumberFormat="1" applyFont="1" applyFill="1" applyBorder="1"/>
    <xf numFmtId="173" fontId="3" fillId="0" borderId="0" xfId="8" applyNumberFormat="1" applyFont="1"/>
    <xf numFmtId="173" fontId="3" fillId="12" borderId="0" xfId="8" applyNumberFormat="1" applyFont="1" applyFill="1"/>
    <xf numFmtId="0" fontId="16" fillId="13" borderId="29" xfId="6" applyFont="1" applyFill="1" applyBorder="1"/>
    <xf numFmtId="0" fontId="16" fillId="13" borderId="30" xfId="6" applyFont="1" applyFill="1" applyBorder="1"/>
    <xf numFmtId="171" fontId="16" fillId="13" borderId="30" xfId="8" applyNumberFormat="1" applyFont="1" applyFill="1" applyBorder="1"/>
    <xf numFmtId="171" fontId="16" fillId="13" borderId="19" xfId="8" applyNumberFormat="1" applyFont="1" applyFill="1" applyBorder="1"/>
    <xf numFmtId="171" fontId="3" fillId="0" borderId="0" xfId="6" applyNumberFormat="1"/>
    <xf numFmtId="0" fontId="24" fillId="0" borderId="0" xfId="6" applyFont="1"/>
    <xf numFmtId="173" fontId="16" fillId="0" borderId="0" xfId="6" applyNumberFormat="1" applyFont="1"/>
    <xf numFmtId="173" fontId="16" fillId="0" borderId="0" xfId="8" applyNumberFormat="1" applyFont="1" applyFill="1"/>
    <xf numFmtId="173" fontId="16" fillId="0" borderId="0" xfId="8" applyNumberFormat="1" applyFont="1"/>
    <xf numFmtId="173" fontId="16" fillId="12" borderId="0" xfId="8" applyNumberFormat="1" applyFont="1" applyFill="1"/>
    <xf numFmtId="0" fontId="3" fillId="0" borderId="0" xfId="6" applyAlignment="1">
      <alignment horizontal="left" indent="1"/>
    </xf>
    <xf numFmtId="173" fontId="3" fillId="0" borderId="0" xfId="6" applyNumberFormat="1"/>
    <xf numFmtId="173" fontId="3" fillId="12" borderId="0" xfId="6" applyNumberFormat="1" applyFill="1"/>
    <xf numFmtId="173" fontId="3" fillId="0" borderId="0" xfId="8" applyNumberFormat="1" applyFont="1" applyFill="1"/>
    <xf numFmtId="173" fontId="16" fillId="12" borderId="0" xfId="6" applyNumberFormat="1" applyFont="1" applyFill="1"/>
    <xf numFmtId="177" fontId="3" fillId="0" borderId="0" xfId="6" applyNumberFormat="1"/>
    <xf numFmtId="0" fontId="3" fillId="14" borderId="0" xfId="6" applyFill="1"/>
    <xf numFmtId="0" fontId="32" fillId="14" borderId="0" xfId="6" applyFont="1" applyFill="1"/>
    <xf numFmtId="0" fontId="16" fillId="14" borderId="0" xfId="6" applyFont="1" applyFill="1" applyAlignment="1">
      <alignment horizontal="center"/>
    </xf>
    <xf numFmtId="0" fontId="16" fillId="0" borderId="0" xfId="6" applyFont="1" applyAlignment="1">
      <alignment horizontal="left" indent="1"/>
    </xf>
    <xf numFmtId="173" fontId="16" fillId="5" borderId="0" xfId="6" applyNumberFormat="1" applyFont="1" applyFill="1"/>
    <xf numFmtId="9" fontId="16" fillId="5" borderId="0" xfId="9" applyFont="1" applyFill="1"/>
    <xf numFmtId="9" fontId="16" fillId="0" borderId="0" xfId="9" applyFont="1"/>
    <xf numFmtId="9" fontId="16" fillId="0" borderId="0" xfId="9" applyFont="1" applyFill="1"/>
    <xf numFmtId="9" fontId="3" fillId="5" borderId="0" xfId="9" applyFont="1" applyFill="1"/>
    <xf numFmtId="9" fontId="3" fillId="0" borderId="0" xfId="9" applyFont="1"/>
    <xf numFmtId="9" fontId="3" fillId="0" borderId="0" xfId="9" applyFont="1" applyFill="1"/>
    <xf numFmtId="171" fontId="3" fillId="7" borderId="8" xfId="5" applyNumberFormat="1" applyFont="1" applyFill="1" applyBorder="1" applyAlignment="1">
      <alignment wrapText="1"/>
    </xf>
    <xf numFmtId="172" fontId="3" fillId="7" borderId="8" xfId="5" applyNumberFormat="1" applyFont="1" applyFill="1" applyBorder="1" applyAlignment="1">
      <alignment wrapText="1"/>
    </xf>
    <xf numFmtId="3" fontId="3" fillId="0" borderId="0" xfId="6" applyNumberFormat="1"/>
    <xf numFmtId="0" fontId="34" fillId="0" borderId="0" xfId="5" applyFont="1"/>
    <xf numFmtId="0" fontId="25" fillId="0" borderId="0" xfId="5"/>
    <xf numFmtId="0" fontId="32" fillId="0" borderId="0" xfId="5" applyFont="1"/>
    <xf numFmtId="1" fontId="27" fillId="15" borderId="31" xfId="5" applyNumberFormat="1" applyFont="1" applyFill="1" applyBorder="1" applyAlignment="1">
      <alignment horizontal="center" vertical="center" wrapText="1"/>
    </xf>
    <xf numFmtId="179" fontId="3" fillId="7" borderId="8" xfId="5" applyNumberFormat="1" applyFont="1" applyFill="1" applyBorder="1" applyAlignment="1">
      <alignment wrapText="1"/>
    </xf>
    <xf numFmtId="172" fontId="26" fillId="7" borderId="8" xfId="5" applyNumberFormat="1" applyFont="1" applyFill="1" applyBorder="1" applyAlignment="1">
      <alignment vertical="center" wrapText="1"/>
    </xf>
    <xf numFmtId="170" fontId="26" fillId="16" borderId="8" xfId="5" applyNumberFormat="1" applyFont="1" applyFill="1" applyBorder="1" applyAlignment="1">
      <alignment vertical="center" wrapText="1"/>
    </xf>
    <xf numFmtId="171" fontId="3" fillId="16" borderId="8" xfId="5" applyNumberFormat="1" applyFont="1" applyFill="1" applyBorder="1" applyAlignment="1">
      <alignment wrapText="1"/>
    </xf>
    <xf numFmtId="179" fontId="3" fillId="16" borderId="8" xfId="5" applyNumberFormat="1" applyFont="1" applyFill="1" applyBorder="1" applyAlignment="1">
      <alignment wrapText="1"/>
    </xf>
    <xf numFmtId="172" fontId="26" fillId="16" borderId="8" xfId="5" applyNumberFormat="1" applyFont="1" applyFill="1" applyBorder="1" applyAlignment="1">
      <alignment vertical="center" wrapText="1"/>
    </xf>
    <xf numFmtId="170" fontId="26" fillId="16" borderId="8" xfId="5" applyNumberFormat="1" applyFont="1" applyFill="1" applyBorder="1" applyAlignment="1">
      <alignment horizontal="left" vertical="center" wrapText="1"/>
    </xf>
    <xf numFmtId="171" fontId="26" fillId="16" borderId="8" xfId="5" applyNumberFormat="1" applyFont="1" applyFill="1" applyBorder="1" applyAlignment="1">
      <alignment horizontal="left" vertical="center" wrapText="1"/>
    </xf>
    <xf numFmtId="172" fontId="26" fillId="16" borderId="8" xfId="5" applyNumberFormat="1" applyFont="1" applyFill="1" applyBorder="1" applyAlignment="1">
      <alignment horizontal="left" vertical="center" wrapText="1"/>
    </xf>
    <xf numFmtId="170" fontId="26" fillId="7" borderId="8" xfId="5" applyNumberFormat="1" applyFont="1" applyFill="1" applyBorder="1" applyAlignment="1">
      <alignment horizontal="left" vertical="center" wrapText="1"/>
    </xf>
    <xf numFmtId="171" fontId="26" fillId="7" borderId="8" xfId="5" applyNumberFormat="1" applyFont="1" applyFill="1" applyBorder="1" applyAlignment="1">
      <alignment horizontal="left" vertical="center" wrapText="1"/>
    </xf>
    <xf numFmtId="172" fontId="26" fillId="7" borderId="8" xfId="5" applyNumberFormat="1" applyFont="1" applyFill="1" applyBorder="1" applyAlignment="1">
      <alignment horizontal="left" vertical="center" wrapText="1"/>
    </xf>
    <xf numFmtId="172" fontId="3" fillId="16" borderId="8" xfId="5" applyNumberFormat="1" applyFont="1" applyFill="1" applyBorder="1" applyAlignment="1">
      <alignment wrapText="1"/>
    </xf>
    <xf numFmtId="170" fontId="3" fillId="16" borderId="8" xfId="5" applyNumberFormat="1" applyFont="1" applyFill="1" applyBorder="1" applyAlignment="1">
      <alignment wrapText="1"/>
    </xf>
    <xf numFmtId="170" fontId="3" fillId="7" borderId="8" xfId="5" applyNumberFormat="1" applyFont="1" applyFill="1" applyBorder="1" applyAlignment="1">
      <alignment wrapText="1"/>
    </xf>
    <xf numFmtId="0" fontId="15" fillId="17" borderId="0" xfId="16" applyFill="1" applyAlignment="1">
      <alignment horizontal="left" vertical="top"/>
    </xf>
    <xf numFmtId="43" fontId="0" fillId="0" borderId="0" xfId="0" applyNumberFormat="1" applyFill="1" applyBorder="1" applyAlignment="1">
      <alignment horizontal="left" vertical="top"/>
    </xf>
    <xf numFmtId="0" fontId="15" fillId="0" borderId="0" xfId="16" applyAlignment="1">
      <alignment horizontal="left" vertical="top"/>
    </xf>
    <xf numFmtId="1" fontId="41" fillId="18" borderId="32" xfId="16" applyNumberFormat="1" applyFont="1" applyFill="1" applyBorder="1" applyAlignment="1">
      <alignment horizontal="left" vertical="center" indent="2" shrinkToFit="1"/>
    </xf>
    <xf numFmtId="1" fontId="40" fillId="0" borderId="32" xfId="16" applyNumberFormat="1" applyFont="1" applyBorder="1" applyAlignment="1">
      <alignment horizontal="left" vertical="center" indent="2" shrinkToFit="1"/>
    </xf>
    <xf numFmtId="1" fontId="40" fillId="0" borderId="32" xfId="16" applyNumberFormat="1" applyFont="1" applyBorder="1" applyAlignment="1">
      <alignment horizontal="right" vertical="center" indent="1" shrinkToFit="1"/>
    </xf>
    <xf numFmtId="1" fontId="40" fillId="0" borderId="33" xfId="16" applyNumberFormat="1" applyFont="1" applyBorder="1" applyAlignment="1">
      <alignment horizontal="right" vertical="center" shrinkToFit="1"/>
    </xf>
    <xf numFmtId="0" fontId="15" fillId="0" borderId="34" xfId="16" applyBorder="1" applyAlignment="1">
      <alignment horizontal="left" vertical="top" wrapText="1" indent="1"/>
    </xf>
    <xf numFmtId="0" fontId="15" fillId="0" borderId="35" xfId="16" applyBorder="1" applyAlignment="1">
      <alignment horizontal="left" wrapText="1"/>
    </xf>
    <xf numFmtId="0" fontId="15" fillId="19" borderId="35" xfId="16" applyFill="1" applyBorder="1" applyAlignment="1">
      <alignment horizontal="left" wrapText="1"/>
    </xf>
    <xf numFmtId="0" fontId="15" fillId="0" borderId="36" xfId="16" applyBorder="1" applyAlignment="1">
      <alignment horizontal="left" wrapText="1"/>
    </xf>
    <xf numFmtId="1" fontId="40" fillId="0" borderId="0" xfId="16" applyNumberFormat="1" applyFont="1" applyAlignment="1">
      <alignment horizontal="right" vertical="top" shrinkToFit="1"/>
    </xf>
    <xf numFmtId="0" fontId="39" fillId="19" borderId="0" xfId="16" applyFont="1" applyFill="1" applyAlignment="1">
      <alignment horizontal="right" vertical="top" wrapText="1"/>
    </xf>
    <xf numFmtId="0" fontId="39" fillId="0" borderId="0" xfId="16" applyFont="1" applyAlignment="1">
      <alignment horizontal="right" vertical="top" wrapText="1" indent="1"/>
    </xf>
    <xf numFmtId="0" fontId="39" fillId="0" borderId="38" xfId="16" applyFont="1" applyBorder="1" applyAlignment="1">
      <alignment horizontal="right" vertical="top" wrapText="1"/>
    </xf>
    <xf numFmtId="0" fontId="15" fillId="0" borderId="0" xfId="16" applyAlignment="1">
      <alignment horizontal="left" wrapText="1"/>
    </xf>
    <xf numFmtId="1" fontId="40" fillId="19" borderId="0" xfId="16" applyNumberFormat="1" applyFont="1" applyFill="1" applyAlignment="1">
      <alignment horizontal="right" vertical="top" shrinkToFit="1"/>
    </xf>
    <xf numFmtId="1" fontId="40" fillId="0" borderId="0" xfId="16" applyNumberFormat="1" applyFont="1" applyAlignment="1">
      <alignment horizontal="right" vertical="top" indent="1" shrinkToFit="1"/>
    </xf>
    <xf numFmtId="1" fontId="40" fillId="0" borderId="38" xfId="16" applyNumberFormat="1" applyFont="1" applyBorder="1" applyAlignment="1">
      <alignment horizontal="right" vertical="top" shrinkToFit="1"/>
    </xf>
    <xf numFmtId="1" fontId="40" fillId="19" borderId="40" xfId="16" applyNumberFormat="1" applyFont="1" applyFill="1" applyBorder="1" applyAlignment="1">
      <alignment horizontal="right" vertical="top" shrinkToFit="1"/>
    </xf>
    <xf numFmtId="1" fontId="40" fillId="0" borderId="40" xfId="16" applyNumberFormat="1" applyFont="1" applyBorder="1" applyAlignment="1">
      <alignment horizontal="right" vertical="top" indent="1" shrinkToFit="1"/>
    </xf>
    <xf numFmtId="1" fontId="40" fillId="0" borderId="41" xfId="16" applyNumberFormat="1" applyFont="1" applyBorder="1" applyAlignment="1">
      <alignment horizontal="right" vertical="top" shrinkToFit="1"/>
    </xf>
    <xf numFmtId="1" fontId="40" fillId="0" borderId="43" xfId="16" applyNumberFormat="1" applyFont="1" applyBorder="1" applyAlignment="1">
      <alignment horizontal="right" vertical="top" shrinkToFit="1"/>
    </xf>
    <xf numFmtId="0" fontId="15" fillId="19" borderId="43" xfId="16" applyFill="1" applyBorder="1" applyAlignment="1">
      <alignment horizontal="left" wrapText="1"/>
    </xf>
    <xf numFmtId="0" fontId="15" fillId="0" borderId="43" xfId="16" applyBorder="1" applyAlignment="1">
      <alignment horizontal="left" wrapText="1"/>
    </xf>
    <xf numFmtId="0" fontId="15" fillId="0" borderId="44" xfId="16" applyBorder="1" applyAlignment="1">
      <alignment horizontal="left" wrapText="1"/>
    </xf>
    <xf numFmtId="0" fontId="15" fillId="0" borderId="45" xfId="16" applyBorder="1" applyAlignment="1">
      <alignment horizontal="left" wrapText="1"/>
    </xf>
    <xf numFmtId="0" fontId="39" fillId="0" borderId="39" xfId="16" applyFont="1" applyBorder="1" applyAlignment="1">
      <alignment horizontal="center" vertical="top" wrapText="1"/>
    </xf>
    <xf numFmtId="0" fontId="15" fillId="0" borderId="39" xfId="16" applyBorder="1" applyAlignment="1">
      <alignment horizontal="left" wrapText="1"/>
    </xf>
    <xf numFmtId="0" fontId="40" fillId="19" borderId="0" xfId="16" applyFont="1" applyFill="1" applyAlignment="1">
      <alignment horizontal="right" vertical="top" wrapText="1"/>
    </xf>
    <xf numFmtId="0" fontId="39" fillId="0" borderId="0" xfId="16" applyFont="1" applyAlignment="1">
      <alignment horizontal="left" vertical="top" wrapText="1" indent="1"/>
    </xf>
    <xf numFmtId="0" fontId="39" fillId="19" borderId="40" xfId="16" applyFont="1" applyFill="1" applyBorder="1" applyAlignment="1">
      <alignment horizontal="right" vertical="top" wrapText="1"/>
    </xf>
    <xf numFmtId="0" fontId="39" fillId="0" borderId="40" xfId="16" applyFont="1" applyBorder="1" applyAlignment="1">
      <alignment horizontal="right" vertical="top" wrapText="1" indent="1"/>
    </xf>
    <xf numFmtId="0" fontId="39" fillId="0" borderId="41" xfId="16" applyFont="1" applyBorder="1" applyAlignment="1">
      <alignment horizontal="right" vertical="top" wrapText="1"/>
    </xf>
    <xf numFmtId="0" fontId="15" fillId="0" borderId="42" xfId="16" applyBorder="1" applyAlignment="1">
      <alignment horizontal="left" wrapText="1"/>
    </xf>
    <xf numFmtId="1" fontId="41" fillId="18" borderId="32" xfId="16" applyNumberFormat="1" applyFont="1" applyFill="1" applyBorder="1" applyAlignment="1">
      <alignment horizontal="right" shrinkToFit="1"/>
    </xf>
    <xf numFmtId="1" fontId="40" fillId="0" borderId="32" xfId="16" applyNumberFormat="1" applyFont="1" applyBorder="1" applyAlignment="1">
      <alignment horizontal="right" indent="1" shrinkToFit="1"/>
    </xf>
    <xf numFmtId="1" fontId="40" fillId="0" borderId="33" xfId="16" applyNumberFormat="1" applyFont="1" applyBorder="1" applyAlignment="1">
      <alignment horizontal="right" shrinkToFit="1"/>
    </xf>
    <xf numFmtId="0" fontId="39" fillId="0" borderId="34" xfId="16" applyFont="1" applyBorder="1" applyAlignment="1">
      <alignment horizontal="center" vertical="top" wrapText="1"/>
    </xf>
    <xf numFmtId="0" fontId="39" fillId="19" borderId="35" xfId="16" applyFont="1" applyFill="1" applyBorder="1" applyAlignment="1">
      <alignment horizontal="right" vertical="top" wrapText="1"/>
    </xf>
    <xf numFmtId="0" fontId="39" fillId="0" borderId="35" xfId="16" applyFont="1" applyBorder="1" applyAlignment="1">
      <alignment horizontal="right" vertical="top" wrapText="1" indent="1"/>
    </xf>
    <xf numFmtId="0" fontId="39" fillId="0" borderId="36" xfId="16" applyFont="1" applyBorder="1" applyAlignment="1">
      <alignment horizontal="right" vertical="top" wrapText="1"/>
    </xf>
    <xf numFmtId="0" fontId="39" fillId="0" borderId="37" xfId="16" applyFont="1" applyBorder="1" applyAlignment="1">
      <alignment horizontal="left" vertical="top" wrapText="1"/>
    </xf>
    <xf numFmtId="0" fontId="39" fillId="0" borderId="39" xfId="16" applyFont="1" applyBorder="1" applyAlignment="1">
      <alignment horizontal="left" vertical="top" wrapText="1"/>
    </xf>
    <xf numFmtId="0" fontId="15" fillId="0" borderId="42" xfId="16" applyBorder="1" applyAlignment="1">
      <alignment horizontal="left" vertical="center" wrapText="1"/>
    </xf>
    <xf numFmtId="0" fontId="0" fillId="0" borderId="0" xfId="0" applyFill="1" applyBorder="1" applyAlignment="1">
      <alignment horizontal="center" vertical="top"/>
    </xf>
    <xf numFmtId="173" fontId="0" fillId="0" borderId="0" xfId="0" applyNumberFormat="1" applyFill="1" applyBorder="1" applyAlignment="1">
      <alignment horizontal="left" vertical="top"/>
    </xf>
    <xf numFmtId="0" fontId="25" fillId="20" borderId="0" xfId="5" applyFill="1"/>
    <xf numFmtId="180" fontId="25" fillId="20" borderId="0" xfId="5" applyNumberFormat="1" applyFill="1"/>
    <xf numFmtId="180" fontId="25" fillId="0" borderId="0" xfId="5" applyNumberFormat="1"/>
    <xf numFmtId="0" fontId="16" fillId="0" borderId="46" xfId="5" applyFont="1" applyBorder="1" applyAlignment="1">
      <alignment horizontal="center" vertical="center"/>
    </xf>
    <xf numFmtId="0" fontId="16" fillId="0" borderId="47" xfId="5" applyFont="1" applyBorder="1" applyAlignment="1">
      <alignment horizontal="center" vertical="center"/>
    </xf>
    <xf numFmtId="0" fontId="16" fillId="0" borderId="48" xfId="5" applyFont="1" applyBorder="1" applyAlignment="1">
      <alignment horizontal="center" vertical="center"/>
    </xf>
    <xf numFmtId="0" fontId="32" fillId="0" borderId="48" xfId="5" applyFont="1" applyBorder="1" applyAlignment="1">
      <alignment horizontal="center" vertical="center" wrapText="1"/>
    </xf>
    <xf numFmtId="0" fontId="32" fillId="0" borderId="48" xfId="5" applyFont="1" applyBorder="1" applyAlignment="1">
      <alignment horizontal="center" vertical="center"/>
    </xf>
    <xf numFmtId="0" fontId="32" fillId="0" borderId="49" xfId="5" applyFont="1" applyBorder="1" applyAlignment="1">
      <alignment horizontal="center" vertical="center" wrapText="1"/>
    </xf>
    <xf numFmtId="0" fontId="25" fillId="0" borderId="0" xfId="5" applyAlignment="1">
      <alignment horizontal="center" vertical="top" wrapText="1"/>
    </xf>
    <xf numFmtId="0" fontId="25" fillId="21" borderId="0" xfId="5" applyFill="1"/>
    <xf numFmtId="11" fontId="25" fillId="0" borderId="0" xfId="5" applyNumberFormat="1" applyAlignment="1">
      <alignment vertical="top"/>
    </xf>
    <xf numFmtId="10" fontId="25" fillId="0" borderId="0" xfId="5" applyNumberFormat="1"/>
    <xf numFmtId="11" fontId="25" fillId="0" borderId="0" xfId="5" applyNumberFormat="1"/>
    <xf numFmtId="181" fontId="25" fillId="0" borderId="0" xfId="5" applyNumberFormat="1"/>
    <xf numFmtId="1" fontId="25" fillId="0" borderId="0" xfId="5" applyNumberFormat="1"/>
    <xf numFmtId="180" fontId="25" fillId="21" borderId="0" xfId="5" applyNumberFormat="1" applyFill="1"/>
    <xf numFmtId="11" fontId="25" fillId="21" borderId="0" xfId="5" applyNumberFormat="1" applyFill="1"/>
    <xf numFmtId="1" fontId="25" fillId="21" borderId="0" xfId="5" applyNumberFormat="1" applyFill="1"/>
    <xf numFmtId="10" fontId="25" fillId="21" borderId="0" xfId="5" applyNumberFormat="1" applyFill="1"/>
    <xf numFmtId="0" fontId="50" fillId="22" borderId="0" xfId="5" applyFont="1" applyFill="1"/>
    <xf numFmtId="0" fontId="50" fillId="0" borderId="0" xfId="5" applyFont="1"/>
    <xf numFmtId="11" fontId="50" fillId="0" borderId="0" xfId="5" applyNumberFormat="1" applyFont="1"/>
    <xf numFmtId="0" fontId="50" fillId="21" borderId="0" xfId="5" applyFont="1" applyFill="1"/>
    <xf numFmtId="1" fontId="50" fillId="0" borderId="0" xfId="5" applyNumberFormat="1" applyFont="1"/>
    <xf numFmtId="2" fontId="25" fillId="0" borderId="0" xfId="5" applyNumberFormat="1"/>
    <xf numFmtId="0" fontId="25" fillId="23" borderId="0" xfId="5" applyFill="1"/>
    <xf numFmtId="0" fontId="3" fillId="0" borderId="0" xfId="6"/>
    <xf numFmtId="0" fontId="3" fillId="0" borderId="0" xfId="6"/>
    <xf numFmtId="9" fontId="3" fillId="0" borderId="0" xfId="1" applyFont="1"/>
    <xf numFmtId="0" fontId="39" fillId="0" borderId="0" xfId="16" applyFont="1" applyAlignment="1">
      <alignment vertical="top" wrapText="1"/>
    </xf>
    <xf numFmtId="170" fontId="26" fillId="24" borderId="8" xfId="5" applyNumberFormat="1" applyFont="1" applyFill="1" applyBorder="1" applyAlignment="1">
      <alignment vertical="center" wrapText="1"/>
    </xf>
    <xf numFmtId="172" fontId="4" fillId="24" borderId="8" xfId="5" applyNumberFormat="1" applyFont="1" applyFill="1" applyBorder="1" applyAlignment="1">
      <alignment wrapText="1"/>
    </xf>
    <xf numFmtId="1" fontId="20" fillId="4" borderId="0" xfId="0" applyNumberFormat="1" applyFont="1" applyFill="1" applyBorder="1" applyAlignment="1">
      <alignment horizontal="left" vertical="top"/>
    </xf>
    <xf numFmtId="0" fontId="20" fillId="0" borderId="0" xfId="0" applyFont="1" applyFill="1" applyBorder="1" applyAlignment="1">
      <alignment horizontal="left" vertical="top"/>
    </xf>
    <xf numFmtId="0" fontId="3" fillId="25" borderId="0" xfId="6" applyFill="1"/>
    <xf numFmtId="0" fontId="16" fillId="0" borderId="0" xfId="6" applyFont="1" applyAlignment="1">
      <alignment horizontal="center"/>
    </xf>
    <xf numFmtId="0" fontId="3" fillId="0" borderId="0" xfId="6"/>
    <xf numFmtId="0" fontId="2" fillId="0" borderId="0" xfId="6" applyFont="1"/>
    <xf numFmtId="0" fontId="7" fillId="0" borderId="2" xfId="0" applyFont="1" applyFill="1" applyBorder="1" applyAlignment="1">
      <alignment horizontal="left" vertical="top" wrapText="1"/>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top" wrapText="1"/>
    </xf>
    <xf numFmtId="0" fontId="7" fillId="0" borderId="3" xfId="0" applyFont="1" applyFill="1" applyBorder="1" applyAlignment="1">
      <alignment horizontal="left" vertical="top" wrapText="1"/>
    </xf>
    <xf numFmtId="0" fontId="8" fillId="0" borderId="2" xfId="0" applyFont="1" applyFill="1" applyBorder="1" applyAlignment="1">
      <alignment horizontal="left" vertical="top" wrapText="1"/>
    </xf>
    <xf numFmtId="0" fontId="8" fillId="0" borderId="4" xfId="0" applyFont="1" applyFill="1" applyBorder="1" applyAlignment="1">
      <alignment horizontal="left" vertical="top" wrapText="1"/>
    </xf>
    <xf numFmtId="0" fontId="8" fillId="0" borderId="3" xfId="0" applyFont="1" applyFill="1" applyBorder="1" applyAlignment="1">
      <alignment horizontal="left" vertical="top" wrapText="1"/>
    </xf>
    <xf numFmtId="0" fontId="10" fillId="0" borderId="5" xfId="0" applyFont="1" applyFill="1" applyBorder="1" applyAlignment="1">
      <alignment horizontal="left" wrapText="1"/>
    </xf>
    <xf numFmtId="0" fontId="10" fillId="0" borderId="6" xfId="0" applyFont="1" applyFill="1" applyBorder="1" applyAlignment="1">
      <alignment horizontal="left" wrapText="1"/>
    </xf>
    <xf numFmtId="0" fontId="10" fillId="0" borderId="7" xfId="0" applyFont="1" applyFill="1" applyBorder="1" applyAlignment="1">
      <alignment horizontal="left" wrapText="1"/>
    </xf>
    <xf numFmtId="0" fontId="10" fillId="0" borderId="5" xfId="0" applyFont="1" applyFill="1" applyBorder="1" applyAlignment="1">
      <alignment horizontal="left" vertical="top" wrapText="1"/>
    </xf>
    <xf numFmtId="0" fontId="10" fillId="0" borderId="6" xfId="0" applyFont="1" applyFill="1" applyBorder="1" applyAlignment="1">
      <alignment horizontal="left" vertical="top" wrapText="1"/>
    </xf>
    <xf numFmtId="0" fontId="10" fillId="0" borderId="7" xfId="0" applyFont="1" applyFill="1" applyBorder="1" applyAlignment="1">
      <alignment horizontal="left" vertical="top" wrapText="1"/>
    </xf>
    <xf numFmtId="0" fontId="10" fillId="0" borderId="2" xfId="0" applyFont="1" applyFill="1" applyBorder="1" applyAlignment="1">
      <alignment horizontal="left" vertical="top" wrapText="1"/>
    </xf>
    <xf numFmtId="0" fontId="10" fillId="0" borderId="4" xfId="0" applyFont="1" applyFill="1" applyBorder="1" applyAlignment="1">
      <alignment horizontal="left" vertical="top" wrapText="1"/>
    </xf>
    <xf numFmtId="0" fontId="10" fillId="0" borderId="3" xfId="0" applyFont="1" applyFill="1" applyBorder="1" applyAlignment="1">
      <alignment horizontal="left" vertical="top" wrapText="1"/>
    </xf>
    <xf numFmtId="164" fontId="9" fillId="0" borderId="2" xfId="0" applyNumberFormat="1" applyFont="1" applyFill="1" applyBorder="1" applyAlignment="1">
      <alignment horizontal="left" vertical="top" wrapText="1"/>
    </xf>
    <xf numFmtId="164" fontId="9" fillId="0" borderId="4" xfId="0" applyNumberFormat="1" applyFont="1" applyFill="1" applyBorder="1" applyAlignment="1">
      <alignment horizontal="left" vertical="top" wrapText="1"/>
    </xf>
    <xf numFmtId="164" fontId="9" fillId="0" borderId="3" xfId="0" applyNumberFormat="1" applyFont="1" applyFill="1" applyBorder="1" applyAlignment="1">
      <alignment horizontal="left" vertical="top" wrapText="1"/>
    </xf>
    <xf numFmtId="165" fontId="9" fillId="0" borderId="2" xfId="0" applyNumberFormat="1" applyFont="1" applyFill="1" applyBorder="1" applyAlignment="1">
      <alignment horizontal="left" vertical="top" wrapText="1"/>
    </xf>
    <xf numFmtId="165" fontId="9" fillId="0" borderId="4" xfId="0" applyNumberFormat="1" applyFont="1" applyFill="1" applyBorder="1" applyAlignment="1">
      <alignment horizontal="left" vertical="top" wrapText="1"/>
    </xf>
    <xf numFmtId="165" fontId="9" fillId="0" borderId="3" xfId="0" applyNumberFormat="1" applyFont="1" applyFill="1" applyBorder="1" applyAlignment="1">
      <alignment horizontal="left" vertical="top" wrapText="1"/>
    </xf>
    <xf numFmtId="0" fontId="16" fillId="0" borderId="21" xfId="6" applyFont="1" applyBorder="1" applyAlignment="1">
      <alignment horizontal="center"/>
    </xf>
    <xf numFmtId="0" fontId="3" fillId="0" borderId="22" xfId="6" applyBorder="1" applyAlignment="1">
      <alignment horizontal="center"/>
    </xf>
    <xf numFmtId="0" fontId="3" fillId="0" borderId="23" xfId="6" applyBorder="1" applyAlignment="1">
      <alignment horizontal="center"/>
    </xf>
    <xf numFmtId="0" fontId="30" fillId="0" borderId="0" xfId="6" applyFont="1" applyAlignment="1">
      <alignment horizontal="center"/>
    </xf>
    <xf numFmtId="0" fontId="3" fillId="0" borderId="0" xfId="6"/>
    <xf numFmtId="0" fontId="39" fillId="0" borderId="0" xfId="16" applyFont="1" applyAlignment="1">
      <alignment horizontal="left" vertical="top" wrapText="1" indent="1"/>
    </xf>
    <xf numFmtId="0" fontId="39" fillId="0" borderId="40" xfId="16" applyFont="1" applyBorder="1" applyAlignment="1">
      <alignment horizontal="left" vertical="top" wrapText="1" indent="1"/>
    </xf>
    <xf numFmtId="0" fontId="15" fillId="0" borderId="0" xfId="16" applyAlignment="1">
      <alignment horizontal="left" vertical="top" wrapText="1"/>
    </xf>
    <xf numFmtId="0" fontId="39" fillId="0" borderId="32" xfId="16" applyFont="1" applyBorder="1" applyAlignment="1">
      <alignment horizontal="right" wrapText="1"/>
    </xf>
    <xf numFmtId="0" fontId="15" fillId="0" borderId="35" xfId="16" applyBorder="1" applyAlignment="1">
      <alignment horizontal="left" vertical="top" wrapText="1"/>
    </xf>
    <xf numFmtId="0" fontId="15" fillId="0" borderId="0" xfId="16" applyAlignment="1">
      <alignment horizontal="left" vertical="top" wrapText="1" indent="45"/>
    </xf>
    <xf numFmtId="0" fontId="36" fillId="0" borderId="0" xfId="16" applyFont="1" applyAlignment="1">
      <alignment horizontal="left" vertical="top" wrapText="1"/>
    </xf>
    <xf numFmtId="0" fontId="39" fillId="0" borderId="32" xfId="16" applyFont="1" applyBorder="1" applyAlignment="1">
      <alignment horizontal="right" vertical="center" wrapText="1"/>
    </xf>
    <xf numFmtId="0" fontId="39" fillId="0" borderId="35" xfId="16" applyFont="1" applyBorder="1" applyAlignment="1">
      <alignment horizontal="left" vertical="top" wrapText="1"/>
    </xf>
    <xf numFmtId="0" fontId="39" fillId="0" borderId="37" xfId="16" applyFont="1" applyBorder="1" applyAlignment="1">
      <alignment horizontal="left" vertical="top" wrapText="1"/>
    </xf>
    <xf numFmtId="0" fontId="39" fillId="0" borderId="39" xfId="16" applyFont="1" applyBorder="1" applyAlignment="1">
      <alignment horizontal="left" vertical="top" wrapText="1"/>
    </xf>
    <xf numFmtId="0" fontId="39" fillId="0" borderId="42" xfId="16" applyFont="1" applyBorder="1" applyAlignment="1">
      <alignment horizontal="left" vertical="top" wrapText="1"/>
    </xf>
    <xf numFmtId="0" fontId="39" fillId="0" borderId="0" xfId="16" applyFont="1" applyAlignment="1">
      <alignment horizontal="left" vertical="top" wrapText="1"/>
    </xf>
    <xf numFmtId="0" fontId="39" fillId="0" borderId="43" xfId="16" applyFont="1" applyBorder="1" applyAlignment="1">
      <alignment horizontal="left" vertical="top" wrapText="1"/>
    </xf>
    <xf numFmtId="0" fontId="25" fillId="0" borderId="0" xfId="5" applyAlignment="1">
      <alignment horizontal="left" wrapText="1"/>
    </xf>
    <xf numFmtId="0" fontId="25" fillId="0" borderId="0" xfId="5" applyAlignment="1">
      <alignment horizontal="left"/>
    </xf>
    <xf numFmtId="0" fontId="15" fillId="0" borderId="50" xfId="0" applyFont="1" applyFill="1" applyBorder="1" applyAlignment="1">
      <alignment horizontal="left" vertical="top"/>
    </xf>
    <xf numFmtId="0" fontId="0" fillId="0" borderId="50" xfId="0" applyFill="1" applyBorder="1" applyAlignment="1">
      <alignment horizontal="left" vertical="top"/>
    </xf>
    <xf numFmtId="1" fontId="0" fillId="0" borderId="50" xfId="0" applyNumberFormat="1" applyFill="1" applyBorder="1" applyAlignment="1">
      <alignment horizontal="left" vertical="top"/>
    </xf>
    <xf numFmtId="0" fontId="15" fillId="0" borderId="0" xfId="0" applyFont="1"/>
    <xf numFmtId="175" fontId="0" fillId="0" borderId="0" xfId="0" applyNumberFormat="1" applyFill="1" applyBorder="1" applyAlignment="1">
      <alignment horizontal="left" vertical="top"/>
    </xf>
    <xf numFmtId="0" fontId="10" fillId="0" borderId="6" xfId="0" applyFont="1" applyFill="1" applyBorder="1" applyAlignment="1">
      <alignment wrapText="1"/>
    </xf>
    <xf numFmtId="0" fontId="10" fillId="0" borderId="7" xfId="0" applyFont="1" applyFill="1" applyBorder="1" applyAlignment="1">
      <alignment wrapText="1"/>
    </xf>
    <xf numFmtId="0" fontId="10" fillId="0" borderId="5" xfId="0" applyFont="1" applyFill="1" applyBorder="1" applyAlignment="1">
      <alignment horizontal="left"/>
    </xf>
    <xf numFmtId="0" fontId="20" fillId="0" borderId="0" xfId="0" applyFont="1"/>
    <xf numFmtId="1" fontId="20" fillId="0" borderId="0" xfId="0" applyNumberFormat="1" applyFont="1" applyFill="1" applyBorder="1" applyAlignment="1">
      <alignment horizontal="left" vertical="top"/>
    </xf>
    <xf numFmtId="2" fontId="20" fillId="0" borderId="0" xfId="0" applyNumberFormat="1" applyFont="1" applyFill="1" applyBorder="1" applyAlignment="1">
      <alignment horizontal="left" vertical="top"/>
    </xf>
  </cellXfs>
  <cellStyles count="19">
    <cellStyle name="Comma 2" xfId="8" xr:uid="{8A43A3B9-D778-4224-AE44-3DC89B340E03}"/>
    <cellStyle name="Comma 3" xfId="11" xr:uid="{426AD12B-C5E2-4160-953F-329A92BB9155}"/>
    <cellStyle name="Comma 3 8" xfId="15" xr:uid="{94009EB8-A2F0-4E2C-AB83-54510D495E90}"/>
    <cellStyle name="Hyperlink" xfId="4" builtinId="8"/>
    <cellStyle name="Neutral 2" xfId="10" xr:uid="{FBBA28A6-5098-4A77-B4C3-36F7843A2A11}"/>
    <cellStyle name="Neutral 2 2" xfId="13" xr:uid="{CDA13D9E-8307-445E-96DC-5E7CA2A71849}"/>
    <cellStyle name="Normal" xfId="0" builtinId="0"/>
    <cellStyle name="Normal 2" xfId="2" xr:uid="{00000000-0005-0000-0000-000002000000}"/>
    <cellStyle name="Normal 2 2" xfId="5" xr:uid="{9B3B0D5E-C3DC-4939-BDA8-54E1DDC0B295}"/>
    <cellStyle name="Normal 20" xfId="17" xr:uid="{A7EC1A19-0179-4A35-B799-F93776F4DCED}"/>
    <cellStyle name="Normal 3" xfId="7" xr:uid="{D95BE6A2-E615-4AB7-BF37-B33E19A52890}"/>
    <cellStyle name="Normal 3 2" xfId="16" xr:uid="{4123EFC7-03F5-460F-8E5E-49602250C9C6}"/>
    <cellStyle name="Normal 4" xfId="18" xr:uid="{FA2913D2-F383-458D-8A8E-47F36F002B6B}"/>
    <cellStyle name="Normal 6" xfId="6" xr:uid="{6ECFD3CD-E833-4B29-9CF4-60C31A3C77FE}"/>
    <cellStyle name="Normal 6 3" xfId="12" xr:uid="{66347DA3-587A-4CA0-9004-BDCB75487BDE}"/>
    <cellStyle name="Percent" xfId="1" builtinId="5"/>
    <cellStyle name="Percent 2" xfId="3" xr:uid="{00000000-0005-0000-0000-000004000000}"/>
    <cellStyle name="Percent 3" xfId="9" xr:uid="{5E248CCD-74F3-4C88-99FA-4D2A03DF417A}"/>
    <cellStyle name="Percent 3 5" xfId="14" xr:uid="{A853581F-E1E7-4B27-B57F-38BB31E47A9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27</xdr:col>
      <xdr:colOff>285750</xdr:colOff>
      <xdr:row>145</xdr:row>
      <xdr:rowOff>19050</xdr:rowOff>
    </xdr:from>
    <xdr:to>
      <xdr:col>27</xdr:col>
      <xdr:colOff>295275</xdr:colOff>
      <xdr:row>161</xdr:row>
      <xdr:rowOff>142875</xdr:rowOff>
    </xdr:to>
    <xdr:cxnSp macro="">
      <xdr:nvCxnSpPr>
        <xdr:cNvPr id="8" name="Straight Connector 7">
          <a:extLst>
            <a:ext uri="{FF2B5EF4-FFF2-40B4-BE49-F238E27FC236}">
              <a16:creationId xmlns:a16="http://schemas.microsoft.com/office/drawing/2014/main" id="{336B7320-133D-42D2-A6EE-4CF8EC72A8E0}"/>
            </a:ext>
          </a:extLst>
        </xdr:cNvPr>
        <xdr:cNvCxnSpPr/>
      </xdr:nvCxnSpPr>
      <xdr:spPr>
        <a:xfrm>
          <a:off x="18192750" y="27755850"/>
          <a:ext cx="9525" cy="2714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xdr:colOff>
      <xdr:row>149</xdr:row>
      <xdr:rowOff>0</xdr:rowOff>
    </xdr:from>
    <xdr:to>
      <xdr:col>27</xdr:col>
      <xdr:colOff>333375</xdr:colOff>
      <xdr:row>149</xdr:row>
      <xdr:rowOff>0</xdr:rowOff>
    </xdr:to>
    <xdr:cxnSp macro="">
      <xdr:nvCxnSpPr>
        <xdr:cNvPr id="9" name="Straight Arrow Connector 8">
          <a:extLst>
            <a:ext uri="{FF2B5EF4-FFF2-40B4-BE49-F238E27FC236}">
              <a16:creationId xmlns:a16="http://schemas.microsoft.com/office/drawing/2014/main" id="{B6B49655-0F85-4378-9C02-EE5EFA4A7408}"/>
            </a:ext>
          </a:extLst>
        </xdr:cNvPr>
        <xdr:cNvCxnSpPr/>
      </xdr:nvCxnSpPr>
      <xdr:spPr>
        <a:xfrm>
          <a:off x="17916525" y="28384500"/>
          <a:ext cx="3238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28575</xdr:colOff>
      <xdr:row>155</xdr:row>
      <xdr:rowOff>0</xdr:rowOff>
    </xdr:from>
    <xdr:to>
      <xdr:col>27</xdr:col>
      <xdr:colOff>323850</xdr:colOff>
      <xdr:row>155</xdr:row>
      <xdr:rowOff>0</xdr:rowOff>
    </xdr:to>
    <xdr:cxnSp macro="">
      <xdr:nvCxnSpPr>
        <xdr:cNvPr id="10" name="Straight Arrow Connector 9">
          <a:extLst>
            <a:ext uri="{FF2B5EF4-FFF2-40B4-BE49-F238E27FC236}">
              <a16:creationId xmlns:a16="http://schemas.microsoft.com/office/drawing/2014/main" id="{2C30D844-7689-4C10-AE3C-CE1382A1255C}"/>
            </a:ext>
          </a:extLst>
        </xdr:cNvPr>
        <xdr:cNvCxnSpPr/>
      </xdr:nvCxnSpPr>
      <xdr:spPr>
        <a:xfrm>
          <a:off x="17935575" y="29356050"/>
          <a:ext cx="295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495300</xdr:colOff>
      <xdr:row>152</xdr:row>
      <xdr:rowOff>0</xdr:rowOff>
    </xdr:from>
    <xdr:to>
      <xdr:col>27</xdr:col>
      <xdr:colOff>304800</xdr:colOff>
      <xdr:row>152</xdr:row>
      <xdr:rowOff>9525</xdr:rowOff>
    </xdr:to>
    <xdr:cxnSp macro="">
      <xdr:nvCxnSpPr>
        <xdr:cNvPr id="11" name="Straight Arrow Connector 10">
          <a:extLst>
            <a:ext uri="{FF2B5EF4-FFF2-40B4-BE49-F238E27FC236}">
              <a16:creationId xmlns:a16="http://schemas.microsoft.com/office/drawing/2014/main" id="{085511F3-961E-4382-AA8E-EBAE99030209}"/>
            </a:ext>
          </a:extLst>
        </xdr:cNvPr>
        <xdr:cNvCxnSpPr/>
      </xdr:nvCxnSpPr>
      <xdr:spPr>
        <a:xfrm flipH="1">
          <a:off x="17868900" y="28870275"/>
          <a:ext cx="3429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295275</xdr:colOff>
      <xdr:row>148</xdr:row>
      <xdr:rowOff>9525</xdr:rowOff>
    </xdr:from>
    <xdr:to>
      <xdr:col>29</xdr:col>
      <xdr:colOff>19050</xdr:colOff>
      <xdr:row>148</xdr:row>
      <xdr:rowOff>19050</xdr:rowOff>
    </xdr:to>
    <xdr:cxnSp macro="">
      <xdr:nvCxnSpPr>
        <xdr:cNvPr id="12" name="Straight Arrow Connector 11">
          <a:extLst>
            <a:ext uri="{FF2B5EF4-FFF2-40B4-BE49-F238E27FC236}">
              <a16:creationId xmlns:a16="http://schemas.microsoft.com/office/drawing/2014/main" id="{9B3DCFDF-87D7-46ED-9E98-3DC096AA8B14}"/>
            </a:ext>
          </a:extLst>
        </xdr:cNvPr>
        <xdr:cNvCxnSpPr/>
      </xdr:nvCxnSpPr>
      <xdr:spPr>
        <a:xfrm>
          <a:off x="18202275" y="2823210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295275</xdr:colOff>
      <xdr:row>151</xdr:row>
      <xdr:rowOff>0</xdr:rowOff>
    </xdr:from>
    <xdr:to>
      <xdr:col>29</xdr:col>
      <xdr:colOff>19050</xdr:colOff>
      <xdr:row>151</xdr:row>
      <xdr:rowOff>9525</xdr:rowOff>
    </xdr:to>
    <xdr:cxnSp macro="">
      <xdr:nvCxnSpPr>
        <xdr:cNvPr id="13" name="Straight Arrow Connector 12">
          <a:extLst>
            <a:ext uri="{FF2B5EF4-FFF2-40B4-BE49-F238E27FC236}">
              <a16:creationId xmlns:a16="http://schemas.microsoft.com/office/drawing/2014/main" id="{07E5B5F1-A816-42FC-B6CA-38BC85FB35FC}"/>
            </a:ext>
          </a:extLst>
        </xdr:cNvPr>
        <xdr:cNvCxnSpPr/>
      </xdr:nvCxnSpPr>
      <xdr:spPr>
        <a:xfrm>
          <a:off x="18202275" y="287083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304800</xdr:colOff>
      <xdr:row>156</xdr:row>
      <xdr:rowOff>0</xdr:rowOff>
    </xdr:from>
    <xdr:to>
      <xdr:col>29</xdr:col>
      <xdr:colOff>28575</xdr:colOff>
      <xdr:row>156</xdr:row>
      <xdr:rowOff>9525</xdr:rowOff>
    </xdr:to>
    <xdr:cxnSp macro="">
      <xdr:nvCxnSpPr>
        <xdr:cNvPr id="14" name="Straight Arrow Connector 13">
          <a:extLst>
            <a:ext uri="{FF2B5EF4-FFF2-40B4-BE49-F238E27FC236}">
              <a16:creationId xmlns:a16="http://schemas.microsoft.com/office/drawing/2014/main" id="{19849490-BF31-4785-BD79-922F1560FDD1}"/>
            </a:ext>
          </a:extLst>
        </xdr:cNvPr>
        <xdr:cNvCxnSpPr/>
      </xdr:nvCxnSpPr>
      <xdr:spPr>
        <a:xfrm>
          <a:off x="18211800" y="29517975"/>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295275</xdr:colOff>
      <xdr:row>158</xdr:row>
      <xdr:rowOff>142875</xdr:rowOff>
    </xdr:from>
    <xdr:to>
      <xdr:col>29</xdr:col>
      <xdr:colOff>19050</xdr:colOff>
      <xdr:row>158</xdr:row>
      <xdr:rowOff>152400</xdr:rowOff>
    </xdr:to>
    <xdr:cxnSp macro="">
      <xdr:nvCxnSpPr>
        <xdr:cNvPr id="15" name="Straight Arrow Connector 14">
          <a:extLst>
            <a:ext uri="{FF2B5EF4-FFF2-40B4-BE49-F238E27FC236}">
              <a16:creationId xmlns:a16="http://schemas.microsoft.com/office/drawing/2014/main" id="{2A4825C8-8A3C-4246-B4B2-6D60E3BA611D}"/>
            </a:ext>
          </a:extLst>
        </xdr:cNvPr>
        <xdr:cNvCxnSpPr/>
      </xdr:nvCxnSpPr>
      <xdr:spPr>
        <a:xfrm>
          <a:off x="18202275" y="2998470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193862</xdr:colOff>
      <xdr:row>144</xdr:row>
      <xdr:rowOff>41462</xdr:rowOff>
    </xdr:from>
    <xdr:to>
      <xdr:col>28</xdr:col>
      <xdr:colOff>212912</xdr:colOff>
      <xdr:row>178</xdr:row>
      <xdr:rowOff>22412</xdr:rowOff>
    </xdr:to>
    <xdr:cxnSp macro="">
      <xdr:nvCxnSpPr>
        <xdr:cNvPr id="16" name="Straight Connector 15">
          <a:extLst>
            <a:ext uri="{FF2B5EF4-FFF2-40B4-BE49-F238E27FC236}">
              <a16:creationId xmlns:a16="http://schemas.microsoft.com/office/drawing/2014/main" id="{03F74EC7-1F57-46FF-9DF7-3C88E4FA38D6}"/>
            </a:ext>
          </a:extLst>
        </xdr:cNvPr>
        <xdr:cNvCxnSpPr/>
      </xdr:nvCxnSpPr>
      <xdr:spPr>
        <a:xfrm>
          <a:off x="18634262" y="27616337"/>
          <a:ext cx="19050" cy="5486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179297</xdr:colOff>
      <xdr:row>0</xdr:row>
      <xdr:rowOff>89649</xdr:rowOff>
    </xdr:from>
    <xdr:to>
      <xdr:col>31</xdr:col>
      <xdr:colOff>22413</xdr:colOff>
      <xdr:row>6</xdr:row>
      <xdr:rowOff>52109</xdr:rowOff>
    </xdr:to>
    <xdr:sp macro="" textlink="">
      <xdr:nvSpPr>
        <xdr:cNvPr id="17" name="TextBox 16">
          <a:extLst>
            <a:ext uri="{FF2B5EF4-FFF2-40B4-BE49-F238E27FC236}">
              <a16:creationId xmlns:a16="http://schemas.microsoft.com/office/drawing/2014/main" id="{601A3F75-5F31-4C07-A56E-647AD9CA6158}"/>
            </a:ext>
          </a:extLst>
        </xdr:cNvPr>
        <xdr:cNvSpPr txBox="1"/>
      </xdr:nvSpPr>
      <xdr:spPr>
        <a:xfrm>
          <a:off x="16528679" y="89649"/>
          <a:ext cx="3641910" cy="125113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ZA" sz="1100" b="0" i="0" u="none" strike="noStrike" baseline="0">
              <a:solidFill>
                <a:schemeClr val="dk1"/>
              </a:solidFill>
              <a:latin typeface="+mn-lt"/>
              <a:ea typeface="+mn-ea"/>
              <a:cs typeface="+mn-cs"/>
            </a:rPr>
            <a:t>Note: the following is assumed in the calculation: Coal = 0.089 t CO2 / GJ (source: EIA/DOE) Gas = 0.05 t CO2 / GJ (source: EIA/DOE) MRG = 0.05 t CO2/GJ (source: Sasol). 	</a:t>
          </a:r>
        </a:p>
        <a:p>
          <a:r>
            <a:rPr lang="en-ZA" sz="1100"/>
            <a:t>2015/16 CDP submission</a:t>
          </a:r>
        </a:p>
      </xdr:txBody>
    </xdr:sp>
    <xdr:clientData/>
  </xdr:twoCellAnchor>
  <xdr:twoCellAnchor>
    <xdr:from>
      <xdr:col>26</xdr:col>
      <xdr:colOff>532841</xdr:colOff>
      <xdr:row>157</xdr:row>
      <xdr:rowOff>123266</xdr:rowOff>
    </xdr:from>
    <xdr:to>
      <xdr:col>28</xdr:col>
      <xdr:colOff>257735</xdr:colOff>
      <xdr:row>157</xdr:row>
      <xdr:rowOff>145677</xdr:rowOff>
    </xdr:to>
    <xdr:cxnSp macro="">
      <xdr:nvCxnSpPr>
        <xdr:cNvPr id="18" name="Straight Arrow Connector 17">
          <a:extLst>
            <a:ext uri="{FF2B5EF4-FFF2-40B4-BE49-F238E27FC236}">
              <a16:creationId xmlns:a16="http://schemas.microsoft.com/office/drawing/2014/main" id="{3670E441-08D7-4E46-9607-709CFFC8386C}"/>
            </a:ext>
          </a:extLst>
        </xdr:cNvPr>
        <xdr:cNvCxnSpPr/>
      </xdr:nvCxnSpPr>
      <xdr:spPr>
        <a:xfrm>
          <a:off x="17906441" y="29803166"/>
          <a:ext cx="791694" cy="22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39781</xdr:colOff>
      <xdr:row>160</xdr:row>
      <xdr:rowOff>145677</xdr:rowOff>
    </xdr:from>
    <xdr:to>
      <xdr:col>28</xdr:col>
      <xdr:colOff>201706</xdr:colOff>
      <xdr:row>161</xdr:row>
      <xdr:rowOff>1</xdr:rowOff>
    </xdr:to>
    <xdr:cxnSp macro="">
      <xdr:nvCxnSpPr>
        <xdr:cNvPr id="19" name="Straight Arrow Connector 18">
          <a:extLst>
            <a:ext uri="{FF2B5EF4-FFF2-40B4-BE49-F238E27FC236}">
              <a16:creationId xmlns:a16="http://schemas.microsoft.com/office/drawing/2014/main" id="{A5B46617-B47F-4EE7-912E-EEEF9BFFE730}"/>
            </a:ext>
          </a:extLst>
        </xdr:cNvPr>
        <xdr:cNvCxnSpPr/>
      </xdr:nvCxnSpPr>
      <xdr:spPr>
        <a:xfrm flipV="1">
          <a:off x="17946781" y="30311352"/>
          <a:ext cx="695325" cy="162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190500</xdr:colOff>
      <xdr:row>168</xdr:row>
      <xdr:rowOff>112059</xdr:rowOff>
    </xdr:from>
    <xdr:to>
      <xdr:col>29</xdr:col>
      <xdr:colOff>29695</xdr:colOff>
      <xdr:row>168</xdr:row>
      <xdr:rowOff>124385</xdr:rowOff>
    </xdr:to>
    <xdr:cxnSp macro="">
      <xdr:nvCxnSpPr>
        <xdr:cNvPr id="20" name="Straight Arrow Connector 19">
          <a:extLst>
            <a:ext uri="{FF2B5EF4-FFF2-40B4-BE49-F238E27FC236}">
              <a16:creationId xmlns:a16="http://schemas.microsoft.com/office/drawing/2014/main" id="{CF65A00E-97BB-4EB8-B801-22F2988B2DB7}"/>
            </a:ext>
          </a:extLst>
        </xdr:cNvPr>
        <xdr:cNvCxnSpPr/>
      </xdr:nvCxnSpPr>
      <xdr:spPr>
        <a:xfrm>
          <a:off x="18630900" y="31573134"/>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174811</xdr:colOff>
      <xdr:row>164</xdr:row>
      <xdr:rowOff>17930</xdr:rowOff>
    </xdr:from>
    <xdr:to>
      <xdr:col>29</xdr:col>
      <xdr:colOff>14006</xdr:colOff>
      <xdr:row>164</xdr:row>
      <xdr:rowOff>30256</xdr:rowOff>
    </xdr:to>
    <xdr:cxnSp macro="">
      <xdr:nvCxnSpPr>
        <xdr:cNvPr id="21" name="Straight Arrow Connector 20">
          <a:extLst>
            <a:ext uri="{FF2B5EF4-FFF2-40B4-BE49-F238E27FC236}">
              <a16:creationId xmlns:a16="http://schemas.microsoft.com/office/drawing/2014/main" id="{8FFA4E54-2A92-43E2-BEA3-4FADB4333C7D}"/>
            </a:ext>
          </a:extLst>
        </xdr:cNvPr>
        <xdr:cNvCxnSpPr/>
      </xdr:nvCxnSpPr>
      <xdr:spPr>
        <a:xfrm>
          <a:off x="18615211" y="30831305"/>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181535</xdr:colOff>
      <xdr:row>172</xdr:row>
      <xdr:rowOff>58270</xdr:rowOff>
    </xdr:from>
    <xdr:to>
      <xdr:col>29</xdr:col>
      <xdr:colOff>20730</xdr:colOff>
      <xdr:row>172</xdr:row>
      <xdr:rowOff>70596</xdr:rowOff>
    </xdr:to>
    <xdr:cxnSp macro="">
      <xdr:nvCxnSpPr>
        <xdr:cNvPr id="22" name="Straight Arrow Connector 21">
          <a:extLst>
            <a:ext uri="{FF2B5EF4-FFF2-40B4-BE49-F238E27FC236}">
              <a16:creationId xmlns:a16="http://schemas.microsoft.com/office/drawing/2014/main" id="{A8AC24D4-C3A4-464C-95C7-EEB3BCFAF126}"/>
            </a:ext>
          </a:extLst>
        </xdr:cNvPr>
        <xdr:cNvCxnSpPr/>
      </xdr:nvCxnSpPr>
      <xdr:spPr>
        <a:xfrm>
          <a:off x="18621935" y="32167045"/>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188259</xdr:colOff>
      <xdr:row>176</xdr:row>
      <xdr:rowOff>31376</xdr:rowOff>
    </xdr:from>
    <xdr:to>
      <xdr:col>29</xdr:col>
      <xdr:colOff>27454</xdr:colOff>
      <xdr:row>176</xdr:row>
      <xdr:rowOff>43702</xdr:rowOff>
    </xdr:to>
    <xdr:cxnSp macro="">
      <xdr:nvCxnSpPr>
        <xdr:cNvPr id="23" name="Straight Arrow Connector 22">
          <a:extLst>
            <a:ext uri="{FF2B5EF4-FFF2-40B4-BE49-F238E27FC236}">
              <a16:creationId xmlns:a16="http://schemas.microsoft.com/office/drawing/2014/main" id="{367F365A-A29E-4279-B0BA-C466EC75EBB6}"/>
            </a:ext>
          </a:extLst>
        </xdr:cNvPr>
        <xdr:cNvCxnSpPr/>
      </xdr:nvCxnSpPr>
      <xdr:spPr>
        <a:xfrm>
          <a:off x="18628659" y="32787851"/>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181535</xdr:colOff>
      <xdr:row>176</xdr:row>
      <xdr:rowOff>58270</xdr:rowOff>
    </xdr:from>
    <xdr:to>
      <xdr:col>29</xdr:col>
      <xdr:colOff>20730</xdr:colOff>
      <xdr:row>176</xdr:row>
      <xdr:rowOff>70596</xdr:rowOff>
    </xdr:to>
    <xdr:cxnSp macro="">
      <xdr:nvCxnSpPr>
        <xdr:cNvPr id="24" name="Straight Arrow Connector 23">
          <a:extLst>
            <a:ext uri="{FF2B5EF4-FFF2-40B4-BE49-F238E27FC236}">
              <a16:creationId xmlns:a16="http://schemas.microsoft.com/office/drawing/2014/main" id="{F40EB750-FC9E-43F2-BACF-12DAFE376B00}"/>
            </a:ext>
          </a:extLst>
        </xdr:cNvPr>
        <xdr:cNvCxnSpPr/>
      </xdr:nvCxnSpPr>
      <xdr:spPr>
        <a:xfrm>
          <a:off x="18621935" y="32814745"/>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490258</xdr:colOff>
      <xdr:row>28</xdr:row>
      <xdr:rowOff>24654</xdr:rowOff>
    </xdr:from>
    <xdr:to>
      <xdr:col>25</xdr:col>
      <xdr:colOff>159124</xdr:colOff>
      <xdr:row>47</xdr:row>
      <xdr:rowOff>34179</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84434" y="4484595"/>
          <a:ext cx="6123454" cy="2990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415179</xdr:colOff>
      <xdr:row>47</xdr:row>
      <xdr:rowOff>40902</xdr:rowOff>
    </xdr:from>
    <xdr:to>
      <xdr:col>24</xdr:col>
      <xdr:colOff>417421</xdr:colOff>
      <xdr:row>65</xdr:row>
      <xdr:rowOff>145117</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09355" y="7481608"/>
          <a:ext cx="5918947" cy="2961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435909</xdr:colOff>
      <xdr:row>66</xdr:row>
      <xdr:rowOff>17370</xdr:rowOff>
    </xdr:from>
    <xdr:to>
      <xdr:col>19</xdr:col>
      <xdr:colOff>164167</xdr:colOff>
      <xdr:row>77</xdr:row>
      <xdr:rowOff>64996</xdr:rowOff>
    </xdr:to>
    <xdr:pic>
      <xdr:nvPicPr>
        <xdr:cNvPr id="12" name="Picture 11">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30085" y="10472458"/>
          <a:ext cx="2955552" cy="1773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67794</xdr:rowOff>
    </xdr:from>
    <xdr:to>
      <xdr:col>10</xdr:col>
      <xdr:colOff>490493</xdr:colOff>
      <xdr:row>9</xdr:row>
      <xdr:rowOff>44824</xdr:rowOff>
    </xdr:to>
    <xdr:pic>
      <xdr:nvPicPr>
        <xdr:cNvPr id="14" name="Picture 13">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24676"/>
          <a:ext cx="7628640" cy="129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420221</xdr:colOff>
      <xdr:row>0</xdr:row>
      <xdr:rowOff>0</xdr:rowOff>
    </xdr:from>
    <xdr:to>
      <xdr:col>25</xdr:col>
      <xdr:colOff>420222</xdr:colOff>
      <xdr:row>14</xdr:row>
      <xdr:rowOff>66116</xdr:rowOff>
    </xdr:to>
    <xdr:pic>
      <xdr:nvPicPr>
        <xdr:cNvPr id="18" name="Picture 1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14397" y="0"/>
          <a:ext cx="6454589" cy="23297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480173</xdr:colOff>
      <xdr:row>14</xdr:row>
      <xdr:rowOff>32497</xdr:rowOff>
    </xdr:from>
    <xdr:to>
      <xdr:col>25</xdr:col>
      <xdr:colOff>220306</xdr:colOff>
      <xdr:row>27</xdr:row>
      <xdr:rowOff>13447</xdr:rowOff>
    </xdr:to>
    <xdr:pic>
      <xdr:nvPicPr>
        <xdr:cNvPr id="2" name="Picture 1">
          <a:extLst>
            <a:ext uri="{FF2B5EF4-FFF2-40B4-BE49-F238E27FC236}">
              <a16:creationId xmlns:a16="http://schemas.microsoft.com/office/drawing/2014/main" id="{6FAFB4B8-CF37-4DAC-965F-3E886A09EC2D}"/>
            </a:ext>
          </a:extLst>
        </xdr:cNvPr>
        <xdr:cNvPicPr>
          <a:picLocks noChangeAspect="1"/>
        </xdr:cNvPicPr>
      </xdr:nvPicPr>
      <xdr:blipFill>
        <a:blip xmlns:r="http://schemas.openxmlformats.org/officeDocument/2006/relationships" r:embed="rId6"/>
        <a:stretch>
          <a:fillRect/>
        </a:stretch>
      </xdr:blipFill>
      <xdr:spPr>
        <a:xfrm>
          <a:off x="7674349" y="2296085"/>
          <a:ext cx="6194721" cy="2020421"/>
        </a:xfrm>
        <a:prstGeom prst="rect">
          <a:avLst/>
        </a:prstGeom>
      </xdr:spPr>
    </xdr:pic>
    <xdr:clientData/>
  </xdr:twoCellAnchor>
  <xdr:twoCellAnchor>
    <xdr:from>
      <xdr:col>3</xdr:col>
      <xdr:colOff>285750</xdr:colOff>
      <xdr:row>69</xdr:row>
      <xdr:rowOff>19050</xdr:rowOff>
    </xdr:from>
    <xdr:to>
      <xdr:col>3</xdr:col>
      <xdr:colOff>295275</xdr:colOff>
      <xdr:row>85</xdr:row>
      <xdr:rowOff>142875</xdr:rowOff>
    </xdr:to>
    <xdr:cxnSp macro="">
      <xdr:nvCxnSpPr>
        <xdr:cNvPr id="8" name="Straight Connector 7">
          <a:extLst>
            <a:ext uri="{FF2B5EF4-FFF2-40B4-BE49-F238E27FC236}">
              <a16:creationId xmlns:a16="http://schemas.microsoft.com/office/drawing/2014/main" id="{562391CE-0E38-4F1A-A373-59C306A4FE23}"/>
            </a:ext>
          </a:extLst>
        </xdr:cNvPr>
        <xdr:cNvCxnSpPr/>
      </xdr:nvCxnSpPr>
      <xdr:spPr>
        <a:xfrm>
          <a:off x="15020925" y="24869775"/>
          <a:ext cx="9525" cy="2714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73</xdr:row>
      <xdr:rowOff>0</xdr:rowOff>
    </xdr:from>
    <xdr:to>
      <xdr:col>3</xdr:col>
      <xdr:colOff>333375</xdr:colOff>
      <xdr:row>73</xdr:row>
      <xdr:rowOff>0</xdr:rowOff>
    </xdr:to>
    <xdr:cxnSp macro="">
      <xdr:nvCxnSpPr>
        <xdr:cNvPr id="11" name="Straight Arrow Connector 10">
          <a:extLst>
            <a:ext uri="{FF2B5EF4-FFF2-40B4-BE49-F238E27FC236}">
              <a16:creationId xmlns:a16="http://schemas.microsoft.com/office/drawing/2014/main" id="{AD397A92-CAC7-4408-9682-2FE503DC6C24}"/>
            </a:ext>
          </a:extLst>
        </xdr:cNvPr>
        <xdr:cNvCxnSpPr/>
      </xdr:nvCxnSpPr>
      <xdr:spPr>
        <a:xfrm>
          <a:off x="14744700" y="25498425"/>
          <a:ext cx="3238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79</xdr:row>
      <xdr:rowOff>0</xdr:rowOff>
    </xdr:from>
    <xdr:to>
      <xdr:col>3</xdr:col>
      <xdr:colOff>323850</xdr:colOff>
      <xdr:row>79</xdr:row>
      <xdr:rowOff>0</xdr:rowOff>
    </xdr:to>
    <xdr:cxnSp macro="">
      <xdr:nvCxnSpPr>
        <xdr:cNvPr id="15" name="Straight Arrow Connector 14">
          <a:extLst>
            <a:ext uri="{FF2B5EF4-FFF2-40B4-BE49-F238E27FC236}">
              <a16:creationId xmlns:a16="http://schemas.microsoft.com/office/drawing/2014/main" id="{A8FE1FB5-54D8-4724-BFF8-5E94DB4C2A32}"/>
            </a:ext>
          </a:extLst>
        </xdr:cNvPr>
        <xdr:cNvCxnSpPr/>
      </xdr:nvCxnSpPr>
      <xdr:spPr>
        <a:xfrm>
          <a:off x="14763750" y="26469975"/>
          <a:ext cx="295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76</xdr:row>
      <xdr:rowOff>0</xdr:rowOff>
    </xdr:from>
    <xdr:to>
      <xdr:col>3</xdr:col>
      <xdr:colOff>304800</xdr:colOff>
      <xdr:row>76</xdr:row>
      <xdr:rowOff>9525</xdr:rowOff>
    </xdr:to>
    <xdr:cxnSp macro="">
      <xdr:nvCxnSpPr>
        <xdr:cNvPr id="17" name="Straight Arrow Connector 16">
          <a:extLst>
            <a:ext uri="{FF2B5EF4-FFF2-40B4-BE49-F238E27FC236}">
              <a16:creationId xmlns:a16="http://schemas.microsoft.com/office/drawing/2014/main" id="{A092BA43-3336-4447-A054-A158DD599997}"/>
            </a:ext>
          </a:extLst>
        </xdr:cNvPr>
        <xdr:cNvCxnSpPr/>
      </xdr:nvCxnSpPr>
      <xdr:spPr>
        <a:xfrm flipH="1">
          <a:off x="14697075" y="25984200"/>
          <a:ext cx="3429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72</xdr:row>
      <xdr:rowOff>9525</xdr:rowOff>
    </xdr:from>
    <xdr:to>
      <xdr:col>5</xdr:col>
      <xdr:colOff>19050</xdr:colOff>
      <xdr:row>72</xdr:row>
      <xdr:rowOff>19050</xdr:rowOff>
    </xdr:to>
    <xdr:cxnSp macro="">
      <xdr:nvCxnSpPr>
        <xdr:cNvPr id="20" name="Straight Arrow Connector 19">
          <a:extLst>
            <a:ext uri="{FF2B5EF4-FFF2-40B4-BE49-F238E27FC236}">
              <a16:creationId xmlns:a16="http://schemas.microsoft.com/office/drawing/2014/main" id="{4BC2EEC6-07F6-4A5E-B0FB-46DC8420790C}"/>
            </a:ext>
          </a:extLst>
        </xdr:cNvPr>
        <xdr:cNvCxnSpPr/>
      </xdr:nvCxnSpPr>
      <xdr:spPr>
        <a:xfrm>
          <a:off x="15030450" y="25346025"/>
          <a:ext cx="7905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75</xdr:row>
      <xdr:rowOff>0</xdr:rowOff>
    </xdr:from>
    <xdr:to>
      <xdr:col>5</xdr:col>
      <xdr:colOff>19050</xdr:colOff>
      <xdr:row>75</xdr:row>
      <xdr:rowOff>9525</xdr:rowOff>
    </xdr:to>
    <xdr:cxnSp macro="">
      <xdr:nvCxnSpPr>
        <xdr:cNvPr id="22" name="Straight Arrow Connector 21">
          <a:extLst>
            <a:ext uri="{FF2B5EF4-FFF2-40B4-BE49-F238E27FC236}">
              <a16:creationId xmlns:a16="http://schemas.microsoft.com/office/drawing/2014/main" id="{2317C471-C40C-4568-B3B8-14D94AF0FFE5}"/>
            </a:ext>
          </a:extLst>
        </xdr:cNvPr>
        <xdr:cNvCxnSpPr/>
      </xdr:nvCxnSpPr>
      <xdr:spPr>
        <a:xfrm>
          <a:off x="15030450" y="25822275"/>
          <a:ext cx="7905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80</xdr:row>
      <xdr:rowOff>0</xdr:rowOff>
    </xdr:from>
    <xdr:to>
      <xdr:col>5</xdr:col>
      <xdr:colOff>28575</xdr:colOff>
      <xdr:row>80</xdr:row>
      <xdr:rowOff>9525</xdr:rowOff>
    </xdr:to>
    <xdr:cxnSp macro="">
      <xdr:nvCxnSpPr>
        <xdr:cNvPr id="23" name="Straight Arrow Connector 22">
          <a:extLst>
            <a:ext uri="{FF2B5EF4-FFF2-40B4-BE49-F238E27FC236}">
              <a16:creationId xmlns:a16="http://schemas.microsoft.com/office/drawing/2014/main" id="{49CB68C0-9022-4FCE-92A0-B79F042282DC}"/>
            </a:ext>
          </a:extLst>
        </xdr:cNvPr>
        <xdr:cNvCxnSpPr/>
      </xdr:nvCxnSpPr>
      <xdr:spPr>
        <a:xfrm>
          <a:off x="15039975" y="26631900"/>
          <a:ext cx="7905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82</xdr:row>
      <xdr:rowOff>142875</xdr:rowOff>
    </xdr:from>
    <xdr:to>
      <xdr:col>5</xdr:col>
      <xdr:colOff>19050</xdr:colOff>
      <xdr:row>82</xdr:row>
      <xdr:rowOff>152400</xdr:rowOff>
    </xdr:to>
    <xdr:cxnSp macro="">
      <xdr:nvCxnSpPr>
        <xdr:cNvPr id="24" name="Straight Arrow Connector 23">
          <a:extLst>
            <a:ext uri="{FF2B5EF4-FFF2-40B4-BE49-F238E27FC236}">
              <a16:creationId xmlns:a16="http://schemas.microsoft.com/office/drawing/2014/main" id="{8B44E7BA-C912-47D9-972E-FB1D1E793C3C}"/>
            </a:ext>
          </a:extLst>
        </xdr:cNvPr>
        <xdr:cNvCxnSpPr/>
      </xdr:nvCxnSpPr>
      <xdr:spPr>
        <a:xfrm>
          <a:off x="15030450" y="27098625"/>
          <a:ext cx="7905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205068</xdr:colOff>
      <xdr:row>68</xdr:row>
      <xdr:rowOff>131109</xdr:rowOff>
    </xdr:from>
    <xdr:to>
      <xdr:col>4</xdr:col>
      <xdr:colOff>224118</xdr:colOff>
      <xdr:row>102</xdr:row>
      <xdr:rowOff>112059</xdr:rowOff>
    </xdr:to>
    <xdr:cxnSp macro="">
      <xdr:nvCxnSpPr>
        <xdr:cNvPr id="26" name="Straight Connector 25">
          <a:extLst>
            <a:ext uri="{FF2B5EF4-FFF2-40B4-BE49-F238E27FC236}">
              <a16:creationId xmlns:a16="http://schemas.microsoft.com/office/drawing/2014/main" id="{454F81CB-2E49-4C7B-8367-0910ECA14BC7}"/>
            </a:ext>
          </a:extLst>
        </xdr:cNvPr>
        <xdr:cNvCxnSpPr/>
      </xdr:nvCxnSpPr>
      <xdr:spPr>
        <a:xfrm>
          <a:off x="5169274" y="10899962"/>
          <a:ext cx="19050" cy="5314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532841</xdr:colOff>
      <xdr:row>81</xdr:row>
      <xdr:rowOff>123266</xdr:rowOff>
    </xdr:from>
    <xdr:to>
      <xdr:col>4</xdr:col>
      <xdr:colOff>257735</xdr:colOff>
      <xdr:row>81</xdr:row>
      <xdr:rowOff>145677</xdr:rowOff>
    </xdr:to>
    <xdr:cxnSp macro="">
      <xdr:nvCxnSpPr>
        <xdr:cNvPr id="19" name="Straight Arrow Connector 18">
          <a:extLst>
            <a:ext uri="{FF2B5EF4-FFF2-40B4-BE49-F238E27FC236}">
              <a16:creationId xmlns:a16="http://schemas.microsoft.com/office/drawing/2014/main" id="{3C290FD2-6143-4B5F-8F51-FF75622DE0B9}"/>
            </a:ext>
          </a:extLst>
        </xdr:cNvPr>
        <xdr:cNvCxnSpPr/>
      </xdr:nvCxnSpPr>
      <xdr:spPr>
        <a:xfrm>
          <a:off x="17644223" y="29135295"/>
          <a:ext cx="800659" cy="22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92</xdr:row>
      <xdr:rowOff>112059</xdr:rowOff>
    </xdr:from>
    <xdr:to>
      <xdr:col>5</xdr:col>
      <xdr:colOff>29695</xdr:colOff>
      <xdr:row>92</xdr:row>
      <xdr:rowOff>124385</xdr:rowOff>
    </xdr:to>
    <xdr:cxnSp macro="">
      <xdr:nvCxnSpPr>
        <xdr:cNvPr id="25" name="Straight Arrow Connector 24">
          <a:extLst>
            <a:ext uri="{FF2B5EF4-FFF2-40B4-BE49-F238E27FC236}">
              <a16:creationId xmlns:a16="http://schemas.microsoft.com/office/drawing/2014/main" id="{480FFD3A-DC0B-42E4-81C6-6EE6A0327CEE}"/>
            </a:ext>
          </a:extLst>
        </xdr:cNvPr>
        <xdr:cNvCxnSpPr/>
      </xdr:nvCxnSpPr>
      <xdr:spPr>
        <a:xfrm>
          <a:off x="18377647" y="30849794"/>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174811</xdr:colOff>
      <xdr:row>88</xdr:row>
      <xdr:rowOff>17930</xdr:rowOff>
    </xdr:from>
    <xdr:to>
      <xdr:col>5</xdr:col>
      <xdr:colOff>14006</xdr:colOff>
      <xdr:row>88</xdr:row>
      <xdr:rowOff>30256</xdr:rowOff>
    </xdr:to>
    <xdr:cxnSp macro="">
      <xdr:nvCxnSpPr>
        <xdr:cNvPr id="29" name="Straight Arrow Connector 28">
          <a:extLst>
            <a:ext uri="{FF2B5EF4-FFF2-40B4-BE49-F238E27FC236}">
              <a16:creationId xmlns:a16="http://schemas.microsoft.com/office/drawing/2014/main" id="{2E17295D-A1E3-4E9B-BF65-7AAD59E24BAF}"/>
            </a:ext>
          </a:extLst>
        </xdr:cNvPr>
        <xdr:cNvCxnSpPr/>
      </xdr:nvCxnSpPr>
      <xdr:spPr>
        <a:xfrm>
          <a:off x="18361958" y="30128136"/>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181535</xdr:colOff>
      <xdr:row>96</xdr:row>
      <xdr:rowOff>58270</xdr:rowOff>
    </xdr:from>
    <xdr:to>
      <xdr:col>5</xdr:col>
      <xdr:colOff>20730</xdr:colOff>
      <xdr:row>96</xdr:row>
      <xdr:rowOff>70596</xdr:rowOff>
    </xdr:to>
    <xdr:cxnSp macro="">
      <xdr:nvCxnSpPr>
        <xdr:cNvPr id="30" name="Straight Arrow Connector 29">
          <a:extLst>
            <a:ext uri="{FF2B5EF4-FFF2-40B4-BE49-F238E27FC236}">
              <a16:creationId xmlns:a16="http://schemas.microsoft.com/office/drawing/2014/main" id="{C926F348-C0AA-44A6-B50E-9CD608B9ADA1}"/>
            </a:ext>
          </a:extLst>
        </xdr:cNvPr>
        <xdr:cNvCxnSpPr/>
      </xdr:nvCxnSpPr>
      <xdr:spPr>
        <a:xfrm>
          <a:off x="18368682" y="31423535"/>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188259</xdr:colOff>
      <xdr:row>100</xdr:row>
      <xdr:rowOff>31376</xdr:rowOff>
    </xdr:from>
    <xdr:to>
      <xdr:col>5</xdr:col>
      <xdr:colOff>27454</xdr:colOff>
      <xdr:row>100</xdr:row>
      <xdr:rowOff>43702</xdr:rowOff>
    </xdr:to>
    <xdr:cxnSp macro="">
      <xdr:nvCxnSpPr>
        <xdr:cNvPr id="31" name="Straight Arrow Connector 30">
          <a:extLst>
            <a:ext uri="{FF2B5EF4-FFF2-40B4-BE49-F238E27FC236}">
              <a16:creationId xmlns:a16="http://schemas.microsoft.com/office/drawing/2014/main" id="{B876ED1A-6A75-42DC-B38B-3C627D6B013F}"/>
            </a:ext>
          </a:extLst>
        </xdr:cNvPr>
        <xdr:cNvCxnSpPr/>
      </xdr:nvCxnSpPr>
      <xdr:spPr>
        <a:xfrm>
          <a:off x="18375406" y="32024170"/>
          <a:ext cx="410695" cy="12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156882</xdr:colOff>
      <xdr:row>88</xdr:row>
      <xdr:rowOff>78441</xdr:rowOff>
    </xdr:from>
    <xdr:to>
      <xdr:col>8</xdr:col>
      <xdr:colOff>481853</xdr:colOff>
      <xdr:row>93</xdr:row>
      <xdr:rowOff>0</xdr:rowOff>
    </xdr:to>
    <xdr:cxnSp macro="">
      <xdr:nvCxnSpPr>
        <xdr:cNvPr id="33" name="Connector: Elbow 32">
          <a:extLst>
            <a:ext uri="{FF2B5EF4-FFF2-40B4-BE49-F238E27FC236}">
              <a16:creationId xmlns:a16="http://schemas.microsoft.com/office/drawing/2014/main" id="{611F3F3D-4599-4BE3-A516-1A7F60025706}"/>
            </a:ext>
          </a:extLst>
        </xdr:cNvPr>
        <xdr:cNvCxnSpPr/>
      </xdr:nvCxnSpPr>
      <xdr:spPr>
        <a:xfrm>
          <a:off x="3384176" y="13984941"/>
          <a:ext cx="896471" cy="705971"/>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33618</xdr:colOff>
      <xdr:row>92</xdr:row>
      <xdr:rowOff>78442</xdr:rowOff>
    </xdr:from>
    <xdr:to>
      <xdr:col>8</xdr:col>
      <xdr:colOff>459442</xdr:colOff>
      <xdr:row>93</xdr:row>
      <xdr:rowOff>11206</xdr:rowOff>
    </xdr:to>
    <xdr:cxnSp macro="">
      <xdr:nvCxnSpPr>
        <xdr:cNvPr id="34" name="Connector: Elbow 33">
          <a:extLst>
            <a:ext uri="{FF2B5EF4-FFF2-40B4-BE49-F238E27FC236}">
              <a16:creationId xmlns:a16="http://schemas.microsoft.com/office/drawing/2014/main" id="{3E519EFA-4AE7-4827-A914-E1DE1D4773CA}"/>
            </a:ext>
          </a:extLst>
        </xdr:cNvPr>
        <xdr:cNvCxnSpPr/>
      </xdr:nvCxnSpPr>
      <xdr:spPr>
        <a:xfrm>
          <a:off x="3260912" y="14612471"/>
          <a:ext cx="997324" cy="8964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89647</xdr:colOff>
      <xdr:row>95</xdr:row>
      <xdr:rowOff>123265</xdr:rowOff>
    </xdr:from>
    <xdr:to>
      <xdr:col>8</xdr:col>
      <xdr:colOff>481853</xdr:colOff>
      <xdr:row>99</xdr:row>
      <xdr:rowOff>0</xdr:rowOff>
    </xdr:to>
    <xdr:cxnSp macro="">
      <xdr:nvCxnSpPr>
        <xdr:cNvPr id="42" name="Connector: Elbow 41">
          <a:extLst>
            <a:ext uri="{FF2B5EF4-FFF2-40B4-BE49-F238E27FC236}">
              <a16:creationId xmlns:a16="http://schemas.microsoft.com/office/drawing/2014/main" id="{610C8834-0041-4590-B7E5-8D286D1B8103}"/>
            </a:ext>
          </a:extLst>
        </xdr:cNvPr>
        <xdr:cNvCxnSpPr/>
      </xdr:nvCxnSpPr>
      <xdr:spPr>
        <a:xfrm>
          <a:off x="3316941" y="15127941"/>
          <a:ext cx="963706" cy="50426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89647</xdr:colOff>
      <xdr:row>98</xdr:row>
      <xdr:rowOff>152400</xdr:rowOff>
    </xdr:from>
    <xdr:to>
      <xdr:col>8</xdr:col>
      <xdr:colOff>477371</xdr:colOff>
      <xdr:row>100</xdr:row>
      <xdr:rowOff>67236</xdr:rowOff>
    </xdr:to>
    <xdr:cxnSp macro="">
      <xdr:nvCxnSpPr>
        <xdr:cNvPr id="44" name="Connector: Elbow 43">
          <a:extLst>
            <a:ext uri="{FF2B5EF4-FFF2-40B4-BE49-F238E27FC236}">
              <a16:creationId xmlns:a16="http://schemas.microsoft.com/office/drawing/2014/main" id="{A7263270-32EB-45D9-BFA9-794686EB0925}"/>
            </a:ext>
          </a:extLst>
        </xdr:cNvPr>
        <xdr:cNvCxnSpPr/>
      </xdr:nvCxnSpPr>
      <xdr:spPr>
        <a:xfrm flipV="1">
          <a:off x="3316941" y="15627724"/>
          <a:ext cx="959224" cy="22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481853</xdr:colOff>
      <xdr:row>1</xdr:row>
      <xdr:rowOff>78442</xdr:rowOff>
    </xdr:from>
    <xdr:to>
      <xdr:col>44</xdr:col>
      <xdr:colOff>7524</xdr:colOff>
      <xdr:row>10</xdr:row>
      <xdr:rowOff>18688</xdr:rowOff>
    </xdr:to>
    <xdr:pic>
      <xdr:nvPicPr>
        <xdr:cNvPr id="3" name="Picture 2">
          <a:extLst>
            <a:ext uri="{FF2B5EF4-FFF2-40B4-BE49-F238E27FC236}">
              <a16:creationId xmlns:a16="http://schemas.microsoft.com/office/drawing/2014/main" id="{A45115F6-54A6-4A48-9921-B7599BF1E37B}"/>
            </a:ext>
          </a:extLst>
        </xdr:cNvPr>
        <xdr:cNvPicPr>
          <a:picLocks noChangeAspect="1"/>
        </xdr:cNvPicPr>
      </xdr:nvPicPr>
      <xdr:blipFill>
        <a:blip xmlns:r="http://schemas.openxmlformats.org/officeDocument/2006/relationships" r:embed="rId7"/>
        <a:stretch>
          <a:fillRect/>
        </a:stretch>
      </xdr:blipFill>
      <xdr:spPr>
        <a:xfrm>
          <a:off x="16125265" y="235324"/>
          <a:ext cx="9745435" cy="14194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84668</xdr:colOff>
      <xdr:row>74</xdr:row>
      <xdr:rowOff>63500</xdr:rowOff>
    </xdr:from>
    <xdr:to>
      <xdr:col>17</xdr:col>
      <xdr:colOff>125451</xdr:colOff>
      <xdr:row>106</xdr:row>
      <xdr:rowOff>96992</xdr:rowOff>
    </xdr:to>
    <xdr:pic>
      <xdr:nvPicPr>
        <xdr:cNvPr id="2" name="Picture 1">
          <a:extLst>
            <a:ext uri="{FF2B5EF4-FFF2-40B4-BE49-F238E27FC236}">
              <a16:creationId xmlns:a16="http://schemas.microsoft.com/office/drawing/2014/main" id="{B9127815-C18F-40C9-943C-C14192723D66}"/>
            </a:ext>
          </a:extLst>
        </xdr:cNvPr>
        <xdr:cNvPicPr>
          <a:picLocks noChangeAspect="1"/>
        </xdr:cNvPicPr>
      </xdr:nvPicPr>
      <xdr:blipFill>
        <a:blip xmlns:r="http://schemas.openxmlformats.org/officeDocument/2006/relationships" r:embed="rId1"/>
        <a:stretch>
          <a:fillRect/>
        </a:stretch>
      </xdr:blipFill>
      <xdr:spPr>
        <a:xfrm>
          <a:off x="3132668" y="15367000"/>
          <a:ext cx="8507450" cy="61294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9334B7C0-6CEA-4BC9-BAD7-67DBA937DDDA}"/>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D38C027C-9079-4EED-A870-60910350BADE}"/>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78</xdr:row>
      <xdr:rowOff>38100</xdr:rowOff>
    </xdr:from>
    <xdr:to>
      <xdr:col>19</xdr:col>
      <xdr:colOff>190500</xdr:colOff>
      <xdr:row>87</xdr:row>
      <xdr:rowOff>0</xdr:rowOff>
    </xdr:to>
    <xdr:pic>
      <xdr:nvPicPr>
        <xdr:cNvPr id="5" name="Picture 4">
          <a:extLst>
            <a:ext uri="{FF2B5EF4-FFF2-40B4-BE49-F238E27FC236}">
              <a16:creationId xmlns:a16="http://schemas.microsoft.com/office/drawing/2014/main" id="{27D2E480-2879-424E-957B-EEA38FEBC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650" y="102393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6" name="Picture 5">
          <a:extLst>
            <a:ext uri="{FF2B5EF4-FFF2-40B4-BE49-F238E27FC236}">
              <a16:creationId xmlns:a16="http://schemas.microsoft.com/office/drawing/2014/main" id="{7B75FEDD-3491-43F4-9F01-ABC64D25822C}"/>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22</xdr:col>
      <xdr:colOff>306421</xdr:colOff>
      <xdr:row>43</xdr:row>
      <xdr:rowOff>153386</xdr:rowOff>
    </xdr:to>
    <xdr:pic>
      <xdr:nvPicPr>
        <xdr:cNvPr id="7" name="Picture 6">
          <a:extLst>
            <a:ext uri="{FF2B5EF4-FFF2-40B4-BE49-F238E27FC236}">
              <a16:creationId xmlns:a16="http://schemas.microsoft.com/office/drawing/2014/main" id="{F8173A7F-1316-449C-BC69-6AD3359E147C}"/>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sasol.com/sites/default/files/financial_reports/Additional%20Analyst%20Information%20-%2031%20December%202017.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sasol.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EC46-F2C9-41BC-9221-431BF69534CB}">
  <dimension ref="A1:W55"/>
  <sheetViews>
    <sheetView tabSelected="1" topLeftCell="A22" zoomScale="85" zoomScaleNormal="85" workbookViewId="0">
      <selection activeCell="I51" sqref="I51"/>
    </sheetView>
  </sheetViews>
  <sheetFormatPr defaultRowHeight="12.75" x14ac:dyDescent="0.2"/>
  <cols>
    <col min="1" max="1" width="10.83203125" customWidth="1"/>
    <col min="2" max="2" width="20.6640625" customWidth="1"/>
    <col min="3" max="3" width="21.1640625" customWidth="1"/>
    <col min="4" max="4" width="21" customWidth="1"/>
    <col min="5" max="5" width="20.5" customWidth="1"/>
    <col min="6" max="6" width="15.6640625" customWidth="1"/>
    <col min="7" max="7" width="7.1640625" customWidth="1"/>
    <col min="8" max="8" width="18" customWidth="1"/>
    <col min="9" max="9" width="13.33203125" customWidth="1"/>
    <col min="10" max="10" width="4.5" customWidth="1"/>
    <col min="11" max="11" width="11.5" customWidth="1"/>
    <col min="12" max="12" width="6.5" customWidth="1"/>
    <col min="13" max="13" width="5.1640625" customWidth="1"/>
    <col min="14" max="14" width="11.5" customWidth="1"/>
    <col min="15" max="15" width="2.1640625" customWidth="1"/>
    <col min="21" max="21" width="21" bestFit="1" customWidth="1"/>
    <col min="29" max="29" width="10" bestFit="1" customWidth="1"/>
    <col min="32" max="32" width="12.33203125" bestFit="1" customWidth="1"/>
  </cols>
  <sheetData>
    <row r="1" spans="1:23" ht="17.100000000000001" customHeight="1" x14ac:dyDescent="0.2">
      <c r="A1" s="1" t="s">
        <v>0</v>
      </c>
      <c r="Q1" t="s">
        <v>90</v>
      </c>
    </row>
    <row r="2" spans="1:23" ht="14.1" customHeight="1" x14ac:dyDescent="0.2">
      <c r="A2" s="244" t="s">
        <v>1</v>
      </c>
      <c r="B2" s="248"/>
      <c r="C2" s="249" t="s">
        <v>2</v>
      </c>
      <c r="D2" s="250"/>
      <c r="E2" s="250"/>
      <c r="F2" s="250"/>
      <c r="G2" s="250"/>
      <c r="H2" s="250"/>
      <c r="I2" s="250"/>
      <c r="J2" s="250"/>
      <c r="K2" s="250"/>
      <c r="L2" s="250"/>
      <c r="M2" s="250"/>
      <c r="N2" s="251"/>
      <c r="Q2" t="s">
        <v>91</v>
      </c>
    </row>
    <row r="3" spans="1:23" ht="14.1" customHeight="1" x14ac:dyDescent="0.2">
      <c r="A3" s="244" t="s">
        <v>3</v>
      </c>
      <c r="B3" s="248"/>
      <c r="C3" s="261">
        <v>170500107</v>
      </c>
      <c r="D3" s="262"/>
      <c r="E3" s="262"/>
      <c r="F3" s="262"/>
      <c r="G3" s="262"/>
      <c r="H3" s="262"/>
      <c r="I3" s="262"/>
      <c r="J3" s="262"/>
      <c r="K3" s="262"/>
      <c r="L3" s="262"/>
      <c r="M3" s="262"/>
      <c r="N3" s="263"/>
      <c r="Q3" t="s">
        <v>92</v>
      </c>
    </row>
    <row r="4" spans="1:23" ht="14.1" customHeight="1" x14ac:dyDescent="0.2">
      <c r="A4" s="244" t="s">
        <v>4</v>
      </c>
      <c r="B4" s="248"/>
      <c r="C4" s="264">
        <v>43190</v>
      </c>
      <c r="D4" s="265"/>
      <c r="E4" s="265"/>
      <c r="F4" s="265"/>
      <c r="G4" s="265"/>
      <c r="H4" s="265"/>
      <c r="I4" s="265"/>
      <c r="J4" s="265"/>
      <c r="K4" s="265"/>
      <c r="L4" s="265"/>
      <c r="M4" s="265"/>
      <c r="N4" s="266"/>
      <c r="Q4" t="s">
        <v>93</v>
      </c>
    </row>
    <row r="5" spans="1:23" ht="14.1" customHeight="1" x14ac:dyDescent="0.2">
      <c r="A5" s="244" t="s">
        <v>5</v>
      </c>
      <c r="B5" s="248"/>
      <c r="C5" s="249" t="s">
        <v>6</v>
      </c>
      <c r="D5" s="250"/>
      <c r="E5" s="250"/>
      <c r="F5" s="250"/>
      <c r="G5" s="250"/>
      <c r="H5" s="250"/>
      <c r="I5" s="250"/>
      <c r="J5" s="250"/>
      <c r="K5" s="250"/>
      <c r="L5" s="250"/>
      <c r="M5" s="250"/>
      <c r="N5" s="251"/>
      <c r="Q5" t="s">
        <v>95</v>
      </c>
    </row>
    <row r="6" spans="1:23" ht="31.5" customHeight="1" x14ac:dyDescent="0.2">
      <c r="A6" s="247" t="s">
        <v>7</v>
      </c>
      <c r="B6" s="245"/>
      <c r="C6" s="245"/>
      <c r="D6" s="245"/>
      <c r="E6" s="245"/>
      <c r="F6" s="245"/>
      <c r="G6" s="245"/>
      <c r="H6" s="245"/>
      <c r="I6" s="245"/>
      <c r="J6" s="245"/>
      <c r="K6" s="245"/>
      <c r="L6" s="245"/>
      <c r="M6" s="245"/>
      <c r="N6" s="246"/>
      <c r="Q6" t="s">
        <v>94</v>
      </c>
    </row>
    <row r="7" spans="1:23" x14ac:dyDescent="0.2">
      <c r="A7" s="252" t="s">
        <v>804</v>
      </c>
      <c r="B7" s="255" t="s">
        <v>9</v>
      </c>
      <c r="C7" s="258" t="s">
        <v>10</v>
      </c>
      <c r="D7" s="259"/>
      <c r="E7" s="260"/>
      <c r="F7" s="258" t="s">
        <v>11</v>
      </c>
      <c r="G7" s="259"/>
      <c r="H7" s="259"/>
      <c r="I7" s="259"/>
      <c r="J7" s="259"/>
      <c r="K7" s="259"/>
      <c r="L7" s="259"/>
      <c r="M7" s="259"/>
      <c r="N7" s="260"/>
    </row>
    <row r="8" spans="1:23" x14ac:dyDescent="0.2">
      <c r="A8" s="253"/>
      <c r="B8" s="256"/>
      <c r="C8" s="252" t="s">
        <v>12</v>
      </c>
      <c r="D8" s="255" t="s">
        <v>13</v>
      </c>
      <c r="E8" s="255" t="s">
        <v>14</v>
      </c>
      <c r="F8" s="247" t="s">
        <v>15</v>
      </c>
      <c r="G8" s="245"/>
      <c r="H8" s="246"/>
      <c r="I8" s="247" t="s">
        <v>16</v>
      </c>
      <c r="J8" s="245"/>
      <c r="K8" s="246"/>
      <c r="L8" s="247" t="s">
        <v>17</v>
      </c>
      <c r="M8" s="245"/>
      <c r="N8" s="246"/>
    </row>
    <row r="9" spans="1:23" ht="36" x14ac:dyDescent="0.2">
      <c r="A9" s="254"/>
      <c r="B9" s="257"/>
      <c r="C9" s="254"/>
      <c r="D9" s="257"/>
      <c r="E9" s="257"/>
      <c r="F9" s="2" t="s">
        <v>18</v>
      </c>
      <c r="G9" s="2" t="s">
        <v>19</v>
      </c>
      <c r="H9" s="2" t="s">
        <v>20</v>
      </c>
      <c r="I9" s="2" t="s">
        <v>18</v>
      </c>
      <c r="J9" s="2" t="s">
        <v>19</v>
      </c>
      <c r="K9" s="2" t="s">
        <v>20</v>
      </c>
      <c r="L9" s="2" t="s">
        <v>18</v>
      </c>
      <c r="M9" s="2" t="s">
        <v>19</v>
      </c>
      <c r="N9" s="2" t="s">
        <v>20</v>
      </c>
      <c r="Q9" s="3" t="s">
        <v>75</v>
      </c>
    </row>
    <row r="10" spans="1:23" ht="24" x14ac:dyDescent="0.2">
      <c r="A10" s="11" t="s">
        <v>21</v>
      </c>
      <c r="B10" s="11" t="s">
        <v>22</v>
      </c>
      <c r="C10" s="11" t="s">
        <v>23</v>
      </c>
      <c r="D10" s="11">
        <v>14977374</v>
      </c>
      <c r="E10" s="11" t="s">
        <v>24</v>
      </c>
      <c r="F10" s="11">
        <v>25429246</v>
      </c>
      <c r="G10" s="13">
        <v>3</v>
      </c>
      <c r="H10" s="11" t="s">
        <v>25</v>
      </c>
      <c r="I10" s="12">
        <v>300</v>
      </c>
      <c r="J10" s="13">
        <v>1</v>
      </c>
      <c r="K10" s="11" t="s">
        <v>25</v>
      </c>
      <c r="L10" s="12">
        <v>449</v>
      </c>
      <c r="M10" s="13">
        <v>1</v>
      </c>
      <c r="N10" s="11" t="s">
        <v>25</v>
      </c>
      <c r="Q10">
        <f>IFERROR(_xlfn.NUMBERVALUE(L10),L10)</f>
        <v>449</v>
      </c>
    </row>
    <row r="11" spans="1:23" ht="24" x14ac:dyDescent="0.2">
      <c r="A11" s="11" t="s">
        <v>21</v>
      </c>
      <c r="B11" s="11" t="s">
        <v>22</v>
      </c>
      <c r="C11" s="11" t="s">
        <v>26</v>
      </c>
      <c r="D11" s="11">
        <v>750271</v>
      </c>
      <c r="E11" s="18" t="s">
        <v>27</v>
      </c>
      <c r="F11" s="11">
        <v>1420641</v>
      </c>
      <c r="G11" s="13">
        <v>3</v>
      </c>
      <c r="H11" s="11" t="s">
        <v>25</v>
      </c>
      <c r="I11" s="25">
        <v>25.3</v>
      </c>
      <c r="J11" s="13">
        <v>1</v>
      </c>
      <c r="K11" s="11" t="s">
        <v>25</v>
      </c>
      <c r="L11" s="26">
        <v>2.5299999999999998</v>
      </c>
      <c r="M11" s="13">
        <v>1</v>
      </c>
      <c r="N11" s="11" t="s">
        <v>25</v>
      </c>
      <c r="Q11">
        <f t="shared" ref="Q11:Q28" si="0">IFERROR(_xlfn.NUMBERVALUE(L11),L11)</f>
        <v>2.5299999999999998</v>
      </c>
      <c r="T11" s="11" t="s">
        <v>138</v>
      </c>
      <c r="U11" s="54">
        <f>D11*CV_GasSASOL*0.000001</f>
        <v>30.761111</v>
      </c>
      <c r="V11" s="11" t="s">
        <v>105</v>
      </c>
      <c r="W11" s="18"/>
    </row>
    <row r="12" spans="1:23" ht="24" x14ac:dyDescent="0.2">
      <c r="A12" s="11" t="s">
        <v>21</v>
      </c>
      <c r="B12" s="11" t="s">
        <v>22</v>
      </c>
      <c r="C12" s="11" t="s">
        <v>28</v>
      </c>
      <c r="D12" s="11">
        <v>28640347</v>
      </c>
      <c r="E12" s="11" t="s">
        <v>29</v>
      </c>
      <c r="F12" s="11">
        <v>1194110</v>
      </c>
      <c r="G12" s="13">
        <v>3</v>
      </c>
      <c r="H12" s="11" t="s">
        <v>25</v>
      </c>
      <c r="I12" s="25">
        <v>21.3</v>
      </c>
      <c r="J12" s="13">
        <v>1</v>
      </c>
      <c r="K12" s="11" t="s">
        <v>25</v>
      </c>
      <c r="L12" s="26">
        <v>2.13</v>
      </c>
      <c r="M12" s="13">
        <v>1</v>
      </c>
      <c r="N12" s="11" t="s">
        <v>25</v>
      </c>
      <c r="Q12">
        <f>IFERROR(_xlfn.NUMBERVALUE(L12),L12)</f>
        <v>2.13</v>
      </c>
      <c r="T12" s="11" t="s">
        <v>138</v>
      </c>
      <c r="U12" s="54">
        <f>D12*0.000001</f>
        <v>28.640346999999998</v>
      </c>
      <c r="V12" s="11" t="s">
        <v>105</v>
      </c>
      <c r="W12" s="11"/>
    </row>
    <row r="13" spans="1:23" ht="24" x14ac:dyDescent="0.2">
      <c r="A13" s="11" t="s">
        <v>21</v>
      </c>
      <c r="B13" s="11" t="s">
        <v>22</v>
      </c>
      <c r="C13" s="11" t="s">
        <v>30</v>
      </c>
      <c r="D13" s="11">
        <v>1100948</v>
      </c>
      <c r="E13" s="11" t="s">
        <v>29</v>
      </c>
      <c r="F13" s="11">
        <v>118860</v>
      </c>
      <c r="G13" s="13">
        <v>3</v>
      </c>
      <c r="H13" s="11" t="s">
        <v>25</v>
      </c>
      <c r="I13" s="25">
        <v>4.5999999999999996</v>
      </c>
      <c r="J13" s="13">
        <v>1</v>
      </c>
      <c r="K13" s="11" t="s">
        <v>25</v>
      </c>
      <c r="L13" s="26">
        <v>0.92</v>
      </c>
      <c r="M13" s="13">
        <v>1</v>
      </c>
      <c r="N13" s="11" t="s">
        <v>25</v>
      </c>
      <c r="Q13">
        <f t="shared" si="0"/>
        <v>0.92</v>
      </c>
      <c r="U13" s="55"/>
    </row>
    <row r="14" spans="1:23" ht="24" x14ac:dyDescent="0.2">
      <c r="A14" s="11" t="s">
        <v>21</v>
      </c>
      <c r="B14" s="11" t="s">
        <v>22</v>
      </c>
      <c r="C14" s="11" t="s">
        <v>31</v>
      </c>
      <c r="D14" s="11">
        <v>1199845</v>
      </c>
      <c r="E14" s="18" t="s">
        <v>27</v>
      </c>
      <c r="F14" s="11">
        <v>188429</v>
      </c>
      <c r="G14" s="13">
        <v>3</v>
      </c>
      <c r="H14" s="11" t="s">
        <v>25</v>
      </c>
      <c r="I14" s="25">
        <v>7.3</v>
      </c>
      <c r="J14" s="13">
        <v>1</v>
      </c>
      <c r="K14" s="11" t="s">
        <v>25</v>
      </c>
      <c r="L14" s="26">
        <v>1.46</v>
      </c>
      <c r="M14" s="13">
        <v>1</v>
      </c>
      <c r="N14" s="11" t="s">
        <v>25</v>
      </c>
      <c r="Q14">
        <f t="shared" si="0"/>
        <v>1.46</v>
      </c>
      <c r="U14" s="55"/>
    </row>
    <row r="15" spans="1:23" ht="36" x14ac:dyDescent="0.2">
      <c r="A15" s="11" t="s">
        <v>21</v>
      </c>
      <c r="B15" s="11" t="s">
        <v>22</v>
      </c>
      <c r="C15" s="11" t="s">
        <v>32</v>
      </c>
      <c r="D15" s="11">
        <v>177871</v>
      </c>
      <c r="E15" s="18" t="s">
        <v>27</v>
      </c>
      <c r="F15" s="11">
        <v>68055</v>
      </c>
      <c r="G15" s="13">
        <v>3</v>
      </c>
      <c r="H15" s="11" t="s">
        <v>25</v>
      </c>
      <c r="I15" s="25">
        <v>1.2</v>
      </c>
      <c r="J15" s="13">
        <v>1</v>
      </c>
      <c r="K15" s="11" t="s">
        <v>25</v>
      </c>
      <c r="L15" s="26">
        <v>0.12</v>
      </c>
      <c r="M15" s="13">
        <v>1</v>
      </c>
      <c r="N15" s="11" t="s">
        <v>25</v>
      </c>
      <c r="Q15">
        <f t="shared" si="0"/>
        <v>0.12</v>
      </c>
      <c r="U15" s="55"/>
    </row>
    <row r="16" spans="1:23" ht="24" x14ac:dyDescent="0.2">
      <c r="A16" s="11" t="s">
        <v>33</v>
      </c>
      <c r="B16" s="11" t="s">
        <v>22</v>
      </c>
      <c r="C16" s="11" t="s">
        <v>34</v>
      </c>
      <c r="D16" s="11">
        <v>910988</v>
      </c>
      <c r="E16" s="11" t="s">
        <v>35</v>
      </c>
      <c r="F16" s="11">
        <v>39454</v>
      </c>
      <c r="G16" s="13">
        <v>3</v>
      </c>
      <c r="H16" s="11" t="s">
        <v>25</v>
      </c>
      <c r="I16" s="25">
        <v>0.7</v>
      </c>
      <c r="J16" s="13">
        <v>1</v>
      </c>
      <c r="K16" s="11" t="s">
        <v>25</v>
      </c>
      <c r="L16" s="26">
        <v>7.0000000000000007E-2</v>
      </c>
      <c r="M16" s="13">
        <v>1</v>
      </c>
      <c r="N16" s="11" t="s">
        <v>25</v>
      </c>
      <c r="Q16">
        <f t="shared" si="0"/>
        <v>7.0000000000000007E-2</v>
      </c>
      <c r="T16" s="11" t="s">
        <v>138</v>
      </c>
      <c r="U16" s="54">
        <f>D16*0.000001</f>
        <v>0.91098799999999991</v>
      </c>
      <c r="V16" s="11" t="s">
        <v>105</v>
      </c>
      <c r="W16" s="11" t="s">
        <v>156</v>
      </c>
    </row>
    <row r="17" spans="1:17" ht="36" x14ac:dyDescent="0.2">
      <c r="A17" s="33" t="s">
        <v>76</v>
      </c>
      <c r="B17" s="33" t="s">
        <v>96</v>
      </c>
      <c r="C17" s="33" t="s">
        <v>97</v>
      </c>
      <c r="D17" s="33">
        <v>30042216</v>
      </c>
      <c r="E17" s="36" t="s">
        <v>98</v>
      </c>
      <c r="F17" s="33">
        <v>23227198</v>
      </c>
      <c r="G17" s="35">
        <v>3</v>
      </c>
      <c r="H17" s="33" t="s">
        <v>99</v>
      </c>
      <c r="I17" s="33">
        <v>96416</v>
      </c>
      <c r="J17" s="35">
        <v>3</v>
      </c>
      <c r="K17" s="33" t="s">
        <v>99</v>
      </c>
      <c r="L17" s="34">
        <v>0</v>
      </c>
      <c r="M17" s="34"/>
      <c r="N17" s="34"/>
      <c r="Q17">
        <f t="shared" si="0"/>
        <v>0</v>
      </c>
    </row>
    <row r="18" spans="1:17" ht="36" x14ac:dyDescent="0.2">
      <c r="A18" s="30" t="s">
        <v>36</v>
      </c>
      <c r="B18" s="30" t="s">
        <v>37</v>
      </c>
      <c r="C18" s="27" t="s">
        <v>38</v>
      </c>
      <c r="D18" s="27" t="s">
        <v>73</v>
      </c>
      <c r="E18" s="30" t="s">
        <v>39</v>
      </c>
      <c r="F18" s="30">
        <v>2027278</v>
      </c>
      <c r="G18" s="31">
        <v>3</v>
      </c>
      <c r="H18" s="30" t="s">
        <v>25</v>
      </c>
      <c r="I18" s="30" t="s">
        <v>72</v>
      </c>
      <c r="J18" s="30" t="s">
        <v>40</v>
      </c>
      <c r="K18" s="30" t="s">
        <v>40</v>
      </c>
      <c r="L18" s="30" t="s">
        <v>72</v>
      </c>
      <c r="M18" s="30" t="s">
        <v>40</v>
      </c>
      <c r="N18" s="30" t="s">
        <v>40</v>
      </c>
      <c r="Q18" t="str">
        <f t="shared" si="0"/>
        <v>NA</v>
      </c>
    </row>
    <row r="19" spans="1:17" ht="24" x14ac:dyDescent="0.2">
      <c r="A19" s="27" t="s">
        <v>36</v>
      </c>
      <c r="B19" s="27" t="s">
        <v>37</v>
      </c>
      <c r="C19" s="27" t="s">
        <v>41</v>
      </c>
      <c r="D19" s="27">
        <v>177871</v>
      </c>
      <c r="E19" s="28" t="s">
        <v>27</v>
      </c>
      <c r="F19" s="27">
        <v>309044</v>
      </c>
      <c r="G19" s="29">
        <v>3</v>
      </c>
      <c r="H19" s="27" t="s">
        <v>25</v>
      </c>
      <c r="I19" s="27" t="s">
        <v>72</v>
      </c>
      <c r="J19" s="27" t="s">
        <v>40</v>
      </c>
      <c r="K19" s="27" t="s">
        <v>40</v>
      </c>
      <c r="L19" s="27" t="s">
        <v>72</v>
      </c>
      <c r="M19" s="27" t="s">
        <v>40</v>
      </c>
      <c r="N19" s="27" t="s">
        <v>40</v>
      </c>
      <c r="Q19" t="str">
        <f t="shared" si="0"/>
        <v>NA</v>
      </c>
    </row>
    <row r="20" spans="1:17" x14ac:dyDescent="0.2">
      <c r="A20" s="27" t="s">
        <v>36</v>
      </c>
      <c r="B20" s="27" t="s">
        <v>37</v>
      </c>
      <c r="C20" s="27" t="s">
        <v>42</v>
      </c>
      <c r="D20" s="27">
        <v>182658</v>
      </c>
      <c r="E20" s="27" t="s">
        <v>43</v>
      </c>
      <c r="F20" s="27">
        <v>15323</v>
      </c>
      <c r="G20" s="29">
        <v>3</v>
      </c>
      <c r="H20" s="27" t="s">
        <v>25</v>
      </c>
      <c r="I20" s="27" t="s">
        <v>72</v>
      </c>
      <c r="J20" s="27" t="s">
        <v>40</v>
      </c>
      <c r="K20" s="27" t="s">
        <v>40</v>
      </c>
      <c r="L20" s="27" t="s">
        <v>72</v>
      </c>
      <c r="M20" s="27" t="s">
        <v>40</v>
      </c>
      <c r="N20" s="27" t="s">
        <v>40</v>
      </c>
      <c r="Q20" t="str">
        <f t="shared" si="0"/>
        <v>NA</v>
      </c>
    </row>
    <row r="21" spans="1:17" ht="24" x14ac:dyDescent="0.2">
      <c r="A21" s="19" t="s">
        <v>44</v>
      </c>
      <c r="B21" s="19" t="s">
        <v>45</v>
      </c>
      <c r="C21" s="19" t="s">
        <v>46</v>
      </c>
      <c r="D21" s="19">
        <v>23360</v>
      </c>
      <c r="E21" s="19" t="s">
        <v>47</v>
      </c>
      <c r="F21" s="19">
        <v>7065</v>
      </c>
      <c r="G21" s="20">
        <v>3</v>
      </c>
      <c r="H21" s="19" t="s">
        <v>25</v>
      </c>
      <c r="I21" s="21">
        <v>3853</v>
      </c>
      <c r="J21" s="20">
        <v>3</v>
      </c>
      <c r="K21" s="19" t="s">
        <v>25</v>
      </c>
      <c r="L21" s="22">
        <v>0</v>
      </c>
      <c r="M21" s="22"/>
      <c r="N21" s="22"/>
      <c r="Q21">
        <f t="shared" si="0"/>
        <v>0</v>
      </c>
    </row>
    <row r="22" spans="1:17" ht="36" x14ac:dyDescent="0.2">
      <c r="A22" s="23" t="s">
        <v>44</v>
      </c>
      <c r="B22" s="23" t="s">
        <v>45</v>
      </c>
      <c r="C22" s="19" t="s">
        <v>48</v>
      </c>
      <c r="D22" s="23">
        <v>119401</v>
      </c>
      <c r="E22" s="19" t="s">
        <v>49</v>
      </c>
      <c r="F22" s="23">
        <v>180962</v>
      </c>
      <c r="G22" s="24">
        <v>3</v>
      </c>
      <c r="H22" s="23" t="s">
        <v>25</v>
      </c>
      <c r="I22" s="23" t="s">
        <v>72</v>
      </c>
      <c r="J22" s="23" t="s">
        <v>40</v>
      </c>
      <c r="K22" s="23" t="s">
        <v>40</v>
      </c>
      <c r="L22" s="23" t="s">
        <v>72</v>
      </c>
      <c r="M22" s="23" t="s">
        <v>40</v>
      </c>
      <c r="N22" s="23" t="s">
        <v>40</v>
      </c>
      <c r="Q22" t="str">
        <f t="shared" si="0"/>
        <v>NA</v>
      </c>
    </row>
    <row r="23" spans="1:17" ht="24" x14ac:dyDescent="0.2">
      <c r="A23" s="14" t="s">
        <v>50</v>
      </c>
      <c r="B23" s="14" t="s">
        <v>51</v>
      </c>
      <c r="C23" s="14" t="s">
        <v>52</v>
      </c>
      <c r="D23" s="14">
        <v>643962</v>
      </c>
      <c r="E23" s="14" t="s">
        <v>53</v>
      </c>
      <c r="F23" s="15" t="s">
        <v>72</v>
      </c>
      <c r="G23" s="14" t="s">
        <v>40</v>
      </c>
      <c r="H23" s="14" t="s">
        <v>40</v>
      </c>
      <c r="I23" s="14" t="s">
        <v>72</v>
      </c>
      <c r="J23" s="14" t="s">
        <v>40</v>
      </c>
      <c r="K23" s="14" t="s">
        <v>40</v>
      </c>
      <c r="L23" s="16">
        <v>692</v>
      </c>
      <c r="M23" s="17">
        <v>3</v>
      </c>
      <c r="N23" s="14" t="s">
        <v>25</v>
      </c>
      <c r="Q23">
        <f t="shared" si="0"/>
        <v>692</v>
      </c>
    </row>
    <row r="24" spans="1:17" ht="24" x14ac:dyDescent="0.2">
      <c r="A24" s="14" t="s">
        <v>50</v>
      </c>
      <c r="B24" s="14" t="s">
        <v>54</v>
      </c>
      <c r="C24" s="14" t="s">
        <v>55</v>
      </c>
      <c r="D24" s="14">
        <v>313043</v>
      </c>
      <c r="E24" s="14" t="s">
        <v>56</v>
      </c>
      <c r="F24" s="14">
        <v>241415</v>
      </c>
      <c r="G24" s="17">
        <v>3</v>
      </c>
      <c r="H24" s="14" t="s">
        <v>25</v>
      </c>
      <c r="I24" s="16">
        <v>7962</v>
      </c>
      <c r="J24" s="17">
        <v>3</v>
      </c>
      <c r="K24" s="14" t="s">
        <v>25</v>
      </c>
      <c r="L24" s="14" t="s">
        <v>72</v>
      </c>
      <c r="M24" s="14" t="s">
        <v>40</v>
      </c>
      <c r="N24" s="14" t="s">
        <v>40</v>
      </c>
      <c r="Q24" t="str">
        <f t="shared" si="0"/>
        <v>NA</v>
      </c>
    </row>
    <row r="25" spans="1:17" ht="24" x14ac:dyDescent="0.2">
      <c r="A25" s="27" t="s">
        <v>76</v>
      </c>
      <c r="B25" s="27" t="s">
        <v>57</v>
      </c>
      <c r="C25" s="27" t="s">
        <v>58</v>
      </c>
      <c r="D25" s="27">
        <v>40020782</v>
      </c>
      <c r="E25" s="27" t="s">
        <v>59</v>
      </c>
      <c r="F25" s="29">
        <v>0</v>
      </c>
      <c r="G25" s="27" t="s">
        <v>40</v>
      </c>
      <c r="H25" s="27" t="s">
        <v>40</v>
      </c>
      <c r="I25" s="32">
        <v>3229</v>
      </c>
      <c r="J25" s="29">
        <v>2</v>
      </c>
      <c r="K25" s="27" t="s">
        <v>25</v>
      </c>
      <c r="L25" s="27" t="s">
        <v>72</v>
      </c>
      <c r="M25" s="27" t="s">
        <v>40</v>
      </c>
      <c r="N25" s="27" t="s">
        <v>40</v>
      </c>
      <c r="Q25" t="str">
        <f t="shared" si="0"/>
        <v>NA</v>
      </c>
    </row>
    <row r="26" spans="1:17" ht="24" x14ac:dyDescent="0.2">
      <c r="A26" s="27" t="s">
        <v>60</v>
      </c>
      <c r="B26" s="27" t="s">
        <v>61</v>
      </c>
      <c r="C26" s="27" t="s">
        <v>62</v>
      </c>
      <c r="D26" s="27">
        <v>4555664</v>
      </c>
      <c r="E26" s="28" t="s">
        <v>63</v>
      </c>
      <c r="F26" s="29">
        <v>0</v>
      </c>
      <c r="G26" s="27" t="s">
        <v>40</v>
      </c>
      <c r="H26" s="27" t="s">
        <v>40</v>
      </c>
      <c r="I26" s="32">
        <v>243</v>
      </c>
      <c r="J26" s="29">
        <v>2</v>
      </c>
      <c r="K26" s="27" t="s">
        <v>25</v>
      </c>
      <c r="L26" s="27" t="s">
        <v>72</v>
      </c>
      <c r="M26" s="27" t="s">
        <v>40</v>
      </c>
      <c r="N26" s="27" t="s">
        <v>40</v>
      </c>
      <c r="Q26" t="str">
        <f t="shared" si="0"/>
        <v>NA</v>
      </c>
    </row>
    <row r="27" spans="1:17" ht="24" x14ac:dyDescent="0.2">
      <c r="A27" s="19" t="s">
        <v>64</v>
      </c>
      <c r="B27" s="19" t="s">
        <v>65</v>
      </c>
      <c r="C27" s="19" t="s">
        <v>66</v>
      </c>
      <c r="D27" s="19" t="s">
        <v>74</v>
      </c>
      <c r="E27" s="19" t="s">
        <v>40</v>
      </c>
      <c r="F27" s="19" t="s">
        <v>72</v>
      </c>
      <c r="G27" s="19" t="s">
        <v>40</v>
      </c>
      <c r="H27" s="19" t="s">
        <v>40</v>
      </c>
      <c r="I27" s="19" t="s">
        <v>72</v>
      </c>
      <c r="J27" s="19" t="s">
        <v>40</v>
      </c>
      <c r="K27" s="19" t="s">
        <v>40</v>
      </c>
      <c r="L27" s="19" t="s">
        <v>72</v>
      </c>
      <c r="M27" s="19" t="s">
        <v>40</v>
      </c>
      <c r="N27" s="19" t="s">
        <v>40</v>
      </c>
      <c r="Q27" t="str">
        <f t="shared" si="0"/>
        <v>NA</v>
      </c>
    </row>
    <row r="28" spans="1:17" ht="36" x14ac:dyDescent="0.2">
      <c r="A28" s="11" t="s">
        <v>67</v>
      </c>
      <c r="B28" s="11" t="s">
        <v>68</v>
      </c>
      <c r="C28" s="11" t="s">
        <v>69</v>
      </c>
      <c r="D28" s="11">
        <v>245406</v>
      </c>
      <c r="E28" s="11" t="s">
        <v>70</v>
      </c>
      <c r="F28" s="11">
        <v>19410</v>
      </c>
      <c r="G28" s="13">
        <v>1</v>
      </c>
      <c r="H28" s="11" t="s">
        <v>71</v>
      </c>
      <c r="I28" s="11" t="s">
        <v>72</v>
      </c>
      <c r="J28" s="11" t="s">
        <v>40</v>
      </c>
      <c r="K28" s="11" t="s">
        <v>40</v>
      </c>
      <c r="L28" s="11" t="s">
        <v>72</v>
      </c>
      <c r="M28" s="11" t="s">
        <v>40</v>
      </c>
      <c r="N28" s="11" t="s">
        <v>40</v>
      </c>
      <c r="Q28" t="str">
        <f t="shared" si="0"/>
        <v>NA</v>
      </c>
    </row>
    <row r="30" spans="1:17" x14ac:dyDescent="0.2">
      <c r="A30" s="3" t="s">
        <v>81</v>
      </c>
      <c r="F30" s="247" t="s">
        <v>15</v>
      </c>
      <c r="G30" s="245"/>
      <c r="H30" s="246"/>
      <c r="I30" s="247" t="s">
        <v>16</v>
      </c>
      <c r="J30" s="245"/>
      <c r="K30" s="246"/>
      <c r="L30" s="247" t="s">
        <v>17</v>
      </c>
      <c r="M30" s="245"/>
      <c r="N30" s="246"/>
    </row>
    <row r="31" spans="1:17" x14ac:dyDescent="0.2">
      <c r="A31" s="295" t="s">
        <v>8</v>
      </c>
    </row>
    <row r="32" spans="1:17" x14ac:dyDescent="0.2">
      <c r="A32" s="3" t="s">
        <v>77</v>
      </c>
      <c r="F32">
        <f>SUMIFS(F$10:F$28,$A$10:$A$28,$A32)</f>
        <v>28478205</v>
      </c>
      <c r="H32" s="9">
        <f>I32*$B$45</f>
        <v>7568.4000000000005</v>
      </c>
      <c r="I32" s="9">
        <f>SUMIFS(I$10:I$28,$A$10:$A$28,$A32)</f>
        <v>360.40000000000003</v>
      </c>
      <c r="K32">
        <f>L32*$B$46</f>
        <v>141431.29999999999</v>
      </c>
      <c r="L32">
        <f>SUMIFS(L$10:L$28,$A$10:$A$28,$A32)</f>
        <v>456.22999999999996</v>
      </c>
    </row>
    <row r="33" spans="1:14" x14ac:dyDescent="0.2">
      <c r="A33" s="3" t="s">
        <v>78</v>
      </c>
      <c r="C33" s="3" t="s">
        <v>112</v>
      </c>
      <c r="D33">
        <f>D25-D10</f>
        <v>25043408</v>
      </c>
      <c r="F33">
        <f>SUMIFS(F$10:F$28,$A$10:$A$28,$A33)</f>
        <v>25578843</v>
      </c>
      <c r="H33" s="9">
        <f>I33*$B$45</f>
        <v>2097648</v>
      </c>
      <c r="I33" s="9">
        <f>SUMIFS(I$10:I$28,$A$10:$A$28,$A33)</f>
        <v>99888</v>
      </c>
      <c r="K33">
        <f>L33*$B$46</f>
        <v>0</v>
      </c>
      <c r="L33">
        <f>SUMIFS(L$10:L$28,$A$10:$A$28,$A33)</f>
        <v>0</v>
      </c>
    </row>
    <row r="34" spans="1:14" x14ac:dyDescent="0.2">
      <c r="A34" s="3" t="s">
        <v>79</v>
      </c>
      <c r="F34">
        <f>SUMIFS(F$10:F$28,$A$10:$A$28,$A34)</f>
        <v>241415</v>
      </c>
      <c r="H34" s="9">
        <f>I34*$B$45</f>
        <v>167202</v>
      </c>
      <c r="I34" s="9">
        <f>SUMIFS(I$10:I$28,$A$10:$A$28,$A34)</f>
        <v>7962</v>
      </c>
      <c r="K34">
        <f>L34*$B$46</f>
        <v>214520</v>
      </c>
      <c r="L34">
        <f>SUMIFS(L$10:L$28,$A$10:$A$28,$A34)</f>
        <v>692</v>
      </c>
    </row>
    <row r="35" spans="1:14" x14ac:dyDescent="0.2">
      <c r="A35" s="288" t="s">
        <v>80</v>
      </c>
      <c r="B35" s="289"/>
      <c r="C35" s="289"/>
      <c r="D35" s="289"/>
      <c r="E35" s="289"/>
      <c r="F35" s="289">
        <f>SUMIFS(F$10:F$28,$A$10:$A$28,$A35)</f>
        <v>188027</v>
      </c>
      <c r="G35" s="289"/>
      <c r="H35" s="290">
        <f>I35*$B$45</f>
        <v>80913</v>
      </c>
      <c r="I35" s="290">
        <f>SUMIFS(I$10:I$28,$A$10:$A$28,$A35)</f>
        <v>3853</v>
      </c>
      <c r="J35" s="289"/>
      <c r="K35" s="289">
        <f>L35*$B$46</f>
        <v>0</v>
      </c>
      <c r="L35" s="289">
        <f>SUMIFS(L$10:L$28,$A$10:$A$28,$A35)</f>
        <v>0</v>
      </c>
      <c r="M35" s="289"/>
      <c r="N35" s="289"/>
    </row>
    <row r="37" spans="1:14" x14ac:dyDescent="0.2">
      <c r="A37" s="5" t="s">
        <v>89</v>
      </c>
      <c r="E37" s="296" t="s">
        <v>802</v>
      </c>
      <c r="F37" s="239">
        <f>SUM(F32:F35)</f>
        <v>54486490</v>
      </c>
      <c r="G37" s="239"/>
      <c r="H37" s="239"/>
      <c r="I37" s="297">
        <f>SUM(I32:I35)</f>
        <v>112063.4</v>
      </c>
      <c r="J37" s="239"/>
      <c r="K37" s="239"/>
      <c r="L37" s="239">
        <f>SUM(L32:L35)</f>
        <v>1148.23</v>
      </c>
    </row>
    <row r="38" spans="1:14" x14ac:dyDescent="0.2">
      <c r="E38" s="239" t="s">
        <v>801</v>
      </c>
      <c r="F38" s="239">
        <f>SUM(F32:F35)*0.000001</f>
        <v>54.486489999999996</v>
      </c>
      <c r="G38" s="239"/>
      <c r="H38" s="239"/>
      <c r="I38" s="298">
        <f>SUM(H32:H35)*0.000001</f>
        <v>2.3533313999999996</v>
      </c>
      <c r="J38" s="239"/>
      <c r="K38" s="239"/>
      <c r="L38" s="239">
        <f>SUM(K32:K35)*0.000001</f>
        <v>0.35595129999999997</v>
      </c>
    </row>
    <row r="40" spans="1:14" x14ac:dyDescent="0.2">
      <c r="E40" s="291" t="s">
        <v>803</v>
      </c>
      <c r="F40" s="292">
        <f>F38+I38+L38</f>
        <v>57.195772699999999</v>
      </c>
    </row>
    <row r="41" spans="1:14" x14ac:dyDescent="0.2">
      <c r="D41" s="41" t="s">
        <v>88</v>
      </c>
      <c r="E41" s="3" t="s">
        <v>87</v>
      </c>
      <c r="F41" s="292">
        <v>56.176986300000003</v>
      </c>
      <c r="G41" s="4">
        <f>1-F41/F40</f>
        <v>1.7812267444023866E-2</v>
      </c>
    </row>
    <row r="43" spans="1:14" x14ac:dyDescent="0.2">
      <c r="F43" s="292"/>
    </row>
    <row r="44" spans="1:14" ht="15" x14ac:dyDescent="0.25">
      <c r="A44" s="6" t="s">
        <v>82</v>
      </c>
      <c r="B44" s="6"/>
      <c r="C44" s="7"/>
      <c r="D44" s="7"/>
    </row>
    <row r="45" spans="1:14" x14ac:dyDescent="0.2">
      <c r="A45" s="8" t="s">
        <v>83</v>
      </c>
      <c r="B45" s="8">
        <v>21</v>
      </c>
      <c r="C45" s="8" t="s">
        <v>84</v>
      </c>
      <c r="D45" s="8"/>
    </row>
    <row r="46" spans="1:14" x14ac:dyDescent="0.2">
      <c r="A46" s="8" t="s">
        <v>85</v>
      </c>
      <c r="B46" s="8">
        <v>310</v>
      </c>
      <c r="C46" s="8" t="s">
        <v>84</v>
      </c>
      <c r="D46" s="8"/>
    </row>
    <row r="54" spans="1:12" x14ac:dyDescent="0.2">
      <c r="A54" s="293"/>
    </row>
    <row r="55" spans="1:12" x14ac:dyDescent="0.2">
      <c r="A55" s="294"/>
      <c r="L55">
        <f>93*B45</f>
        <v>1953</v>
      </c>
    </row>
  </sheetData>
  <mergeCells count="22">
    <mergeCell ref="A2:B2"/>
    <mergeCell ref="C2:N2"/>
    <mergeCell ref="A3:B3"/>
    <mergeCell ref="C3:N3"/>
    <mergeCell ref="A4:B4"/>
    <mergeCell ref="C4:N4"/>
    <mergeCell ref="A5:B5"/>
    <mergeCell ref="C5:N5"/>
    <mergeCell ref="A6:N6"/>
    <mergeCell ref="A7:A9"/>
    <mergeCell ref="B7:B9"/>
    <mergeCell ref="C7:E7"/>
    <mergeCell ref="F7:N7"/>
    <mergeCell ref="C8:C9"/>
    <mergeCell ref="D8:D9"/>
    <mergeCell ref="E8:E9"/>
    <mergeCell ref="F8:H8"/>
    <mergeCell ref="I8:K8"/>
    <mergeCell ref="L8:N8"/>
    <mergeCell ref="F30:H30"/>
    <mergeCell ref="I30:K30"/>
    <mergeCell ref="L30:N30"/>
  </mergeCell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34"/>
  <sheetViews>
    <sheetView topLeftCell="J1" zoomScale="85" zoomScaleNormal="85" workbookViewId="0">
      <selection activeCell="AQ14" sqref="AQ14"/>
    </sheetView>
  </sheetViews>
  <sheetFormatPr defaultRowHeight="12.75" x14ac:dyDescent="0.2"/>
  <cols>
    <col min="1" max="1" width="28.33203125" customWidth="1"/>
    <col min="6" max="6" width="13.1640625" bestFit="1" customWidth="1"/>
    <col min="7" max="7" width="14.5" bestFit="1" customWidth="1"/>
    <col min="10" max="10" width="12.33203125" bestFit="1" customWidth="1"/>
    <col min="11" max="11" width="13.5" bestFit="1" customWidth="1"/>
    <col min="12" max="12" width="13" customWidth="1"/>
  </cols>
  <sheetData>
    <row r="1" spans="1:44" x14ac:dyDescent="0.2">
      <c r="A1" s="37" t="s">
        <v>100</v>
      </c>
      <c r="AA1" t="s">
        <v>769</v>
      </c>
    </row>
    <row r="5" spans="1:44" ht="18" customHeight="1" x14ac:dyDescent="0.2"/>
    <row r="9" spans="1:44" x14ac:dyDescent="0.2">
      <c r="A9" s="3" t="s">
        <v>101</v>
      </c>
      <c r="C9" s="40">
        <v>1</v>
      </c>
      <c r="D9">
        <v>7834</v>
      </c>
      <c r="E9" s="3" t="s">
        <v>107</v>
      </c>
    </row>
    <row r="10" spans="1:44" x14ac:dyDescent="0.2">
      <c r="A10" s="3" t="s">
        <v>106</v>
      </c>
      <c r="C10">
        <f t="shared" ref="C10:C15" si="0">D10/$D$9</f>
        <v>0.48621393923921369</v>
      </c>
      <c r="D10">
        <v>3809</v>
      </c>
      <c r="E10" s="3" t="s">
        <v>107</v>
      </c>
    </row>
    <row r="11" spans="1:44" x14ac:dyDescent="0.2">
      <c r="A11" s="3" t="s">
        <v>108</v>
      </c>
      <c r="C11">
        <f t="shared" si="0"/>
        <v>8.7311718151646664E-2</v>
      </c>
      <c r="D11">
        <v>684</v>
      </c>
      <c r="E11" s="3" t="s">
        <v>107</v>
      </c>
    </row>
    <row r="12" spans="1:44" x14ac:dyDescent="0.2">
      <c r="A12" s="3" t="s">
        <v>109</v>
      </c>
      <c r="C12">
        <f t="shared" si="0"/>
        <v>8.2588715853969874E-2</v>
      </c>
      <c r="D12">
        <v>647</v>
      </c>
      <c r="E12" s="3" t="s">
        <v>107</v>
      </c>
      <c r="AR12" s="3" t="s">
        <v>770</v>
      </c>
    </row>
    <row r="13" spans="1:44" x14ac:dyDescent="0.2">
      <c r="A13" s="3" t="s">
        <v>110</v>
      </c>
      <c r="C13">
        <f t="shared" si="0"/>
        <v>0.25108501404135819</v>
      </c>
      <c r="D13">
        <v>1967</v>
      </c>
      <c r="E13" s="3" t="s">
        <v>107</v>
      </c>
      <c r="AA13" s="3" t="s">
        <v>767</v>
      </c>
      <c r="AR13">
        <f>0.71*1564</f>
        <v>1110.44</v>
      </c>
    </row>
    <row r="14" spans="1:44" x14ac:dyDescent="0.2">
      <c r="A14" s="239" t="s">
        <v>139</v>
      </c>
      <c r="B14" s="239"/>
      <c r="C14" s="239">
        <f t="shared" si="0"/>
        <v>7.544038805208067E-2</v>
      </c>
      <c r="D14" s="239">
        <v>591</v>
      </c>
      <c r="E14" s="239" t="s">
        <v>107</v>
      </c>
      <c r="F14" s="238">
        <f>D14*'Calorific values'!I9*CV_GasSASOL</f>
        <v>34373.521113750001</v>
      </c>
      <c r="G14" s="3" t="s">
        <v>567</v>
      </c>
      <c r="AA14" s="3" t="s">
        <v>768</v>
      </c>
      <c r="AR14">
        <f>0.53*1564</f>
        <v>828.92000000000007</v>
      </c>
    </row>
    <row r="15" spans="1:44" x14ac:dyDescent="0.2">
      <c r="A15" s="3" t="s">
        <v>111</v>
      </c>
      <c r="C15">
        <f t="shared" si="0"/>
        <v>1.7360224661730917E-2</v>
      </c>
      <c r="D15">
        <v>136</v>
      </c>
      <c r="E15" s="3" t="s">
        <v>107</v>
      </c>
    </row>
    <row r="16" spans="1:44" x14ac:dyDescent="0.2">
      <c r="AA16" s="3" t="s">
        <v>771</v>
      </c>
      <c r="AR16">
        <v>600</v>
      </c>
    </row>
    <row r="17" spans="1:45" x14ac:dyDescent="0.2">
      <c r="AA17" s="3" t="s">
        <v>772</v>
      </c>
      <c r="AC17">
        <v>118</v>
      </c>
      <c r="AR17">
        <f>AC17*2</f>
        <v>236</v>
      </c>
    </row>
    <row r="18" spans="1:45" x14ac:dyDescent="0.2">
      <c r="C18" s="42" t="s">
        <v>118</v>
      </c>
      <c r="D18">
        <v>41.5</v>
      </c>
      <c r="E18" s="3" t="s">
        <v>86</v>
      </c>
      <c r="F18" t="s">
        <v>122</v>
      </c>
      <c r="AA18" s="3" t="s">
        <v>773</v>
      </c>
      <c r="AR18">
        <v>140</v>
      </c>
    </row>
    <row r="19" spans="1:45" x14ac:dyDescent="0.2">
      <c r="C19" s="42" t="s">
        <v>117</v>
      </c>
      <c r="D19">
        <v>36</v>
      </c>
      <c r="E19" s="3" t="s">
        <v>86</v>
      </c>
      <c r="F19" t="s">
        <v>123</v>
      </c>
      <c r="AA19" s="3" t="s">
        <v>774</v>
      </c>
      <c r="AR19">
        <f>AR13-SUM(AR16:AR18)</f>
        <v>134.44000000000005</v>
      </c>
      <c r="AS19" s="3" t="s">
        <v>163</v>
      </c>
    </row>
    <row r="20" spans="1:45" x14ac:dyDescent="0.2">
      <c r="C20" s="42" t="s">
        <v>125</v>
      </c>
      <c r="D20">
        <v>8</v>
      </c>
      <c r="E20" s="3" t="s">
        <v>86</v>
      </c>
      <c r="F20" t="s">
        <v>120</v>
      </c>
    </row>
    <row r="21" spans="1:45" x14ac:dyDescent="0.2">
      <c r="C21" s="42" t="s">
        <v>124</v>
      </c>
      <c r="D21">
        <v>3</v>
      </c>
      <c r="E21" s="3" t="s">
        <v>86</v>
      </c>
      <c r="F21" t="s">
        <v>121</v>
      </c>
    </row>
    <row r="23" spans="1:45" x14ac:dyDescent="0.2">
      <c r="B23" t="s">
        <v>129</v>
      </c>
      <c r="C23" s="42"/>
    </row>
    <row r="24" spans="1:45" x14ac:dyDescent="0.2">
      <c r="B24" t="s">
        <v>113</v>
      </c>
      <c r="D24">
        <v>23.8</v>
      </c>
      <c r="E24" s="3" t="s">
        <v>86</v>
      </c>
      <c r="F24" t="s">
        <v>119</v>
      </c>
    </row>
    <row r="25" spans="1:45" x14ac:dyDescent="0.2">
      <c r="B25" t="s">
        <v>114</v>
      </c>
      <c r="D25">
        <v>12.9</v>
      </c>
      <c r="E25" s="3" t="s">
        <v>86</v>
      </c>
      <c r="F25" t="s">
        <v>119</v>
      </c>
    </row>
    <row r="26" spans="1:45" x14ac:dyDescent="0.2">
      <c r="B26" t="s">
        <v>115</v>
      </c>
      <c r="D26">
        <v>4.8</v>
      </c>
      <c r="E26" s="3" t="s">
        <v>86</v>
      </c>
      <c r="F26" t="s">
        <v>119</v>
      </c>
    </row>
    <row r="28" spans="1:45" x14ac:dyDescent="0.2">
      <c r="C28" s="42" t="s">
        <v>103</v>
      </c>
      <c r="D28" s="10">
        <f>SUM(D19:D20)-D21</f>
        <v>41</v>
      </c>
      <c r="E28" s="3" t="s">
        <v>86</v>
      </c>
    </row>
    <row r="29" spans="1:45" x14ac:dyDescent="0.2">
      <c r="C29" s="42" t="s">
        <v>127</v>
      </c>
      <c r="D29" s="10">
        <f>D18-D28</f>
        <v>0.5</v>
      </c>
      <c r="E29" s="3" t="s">
        <v>86</v>
      </c>
    </row>
    <row r="30" spans="1:45" x14ac:dyDescent="0.2">
      <c r="C30" s="42" t="s">
        <v>126</v>
      </c>
      <c r="D30" s="10">
        <f>D28+D29</f>
        <v>41.5</v>
      </c>
      <c r="E30" s="3" t="s">
        <v>86</v>
      </c>
    </row>
    <row r="32" spans="1:45" x14ac:dyDescent="0.2">
      <c r="A32" s="203"/>
      <c r="C32" s="43" t="s">
        <v>128</v>
      </c>
      <c r="D32" s="39">
        <v>20.84</v>
      </c>
      <c r="E32" s="38" t="s">
        <v>104</v>
      </c>
      <c r="F32" t="s">
        <v>131</v>
      </c>
    </row>
    <row r="33" spans="3:13" x14ac:dyDescent="0.2">
      <c r="D33" s="39">
        <v>18.670000000000002</v>
      </c>
      <c r="E33" s="38" t="s">
        <v>104</v>
      </c>
      <c r="F33" t="s">
        <v>132</v>
      </c>
    </row>
    <row r="35" spans="3:13" x14ac:dyDescent="0.2">
      <c r="C35" t="s">
        <v>101</v>
      </c>
      <c r="D35">
        <f>'SASOL NIR 2017'!D10/1000000</f>
        <v>14.977373999999999</v>
      </c>
      <c r="E35" s="3" t="s">
        <v>86</v>
      </c>
      <c r="F35" s="3" t="s">
        <v>102</v>
      </c>
      <c r="H35" s="3" t="s">
        <v>159</v>
      </c>
      <c r="I35" s="3" t="s">
        <v>165</v>
      </c>
      <c r="J35" s="3">
        <v>140</v>
      </c>
      <c r="K35" s="3" t="s">
        <v>160</v>
      </c>
      <c r="L35">
        <v>0.44</v>
      </c>
      <c r="M35" s="3" t="s">
        <v>186</v>
      </c>
    </row>
    <row r="36" spans="3:13" x14ac:dyDescent="0.2">
      <c r="C36" t="s">
        <v>131</v>
      </c>
      <c r="D36">
        <f>D35-D37</f>
        <v>13.777374</v>
      </c>
      <c r="E36" s="3" t="s">
        <v>86</v>
      </c>
      <c r="F36" s="3" t="s">
        <v>102</v>
      </c>
      <c r="H36" s="3" t="s">
        <v>163</v>
      </c>
      <c r="I36" s="3" t="s">
        <v>164</v>
      </c>
      <c r="J36">
        <v>20</v>
      </c>
      <c r="K36" s="3" t="s">
        <v>161</v>
      </c>
    </row>
    <row r="37" spans="3:13" x14ac:dyDescent="0.2">
      <c r="C37" t="s">
        <v>132</v>
      </c>
      <c r="D37">
        <v>1.2</v>
      </c>
      <c r="E37" s="3" t="s">
        <v>86</v>
      </c>
      <c r="F37" s="3" t="s">
        <v>102</v>
      </c>
      <c r="H37" s="3"/>
    </row>
    <row r="38" spans="3:13" x14ac:dyDescent="0.2">
      <c r="H38" s="3" t="s">
        <v>136</v>
      </c>
      <c r="I38" s="3" t="s">
        <v>165</v>
      </c>
      <c r="J38">
        <v>240</v>
      </c>
      <c r="K38" s="3" t="s">
        <v>162</v>
      </c>
    </row>
    <row r="39" spans="3:13" x14ac:dyDescent="0.2">
      <c r="C39" t="s">
        <v>131</v>
      </c>
      <c r="D39">
        <f>D36*$D32</f>
        <v>287.12047416000001</v>
      </c>
      <c r="E39" t="s">
        <v>105</v>
      </c>
      <c r="F39" s="3" t="s">
        <v>102</v>
      </c>
      <c r="H39" s="3" t="s">
        <v>163</v>
      </c>
      <c r="I39" s="3" t="s">
        <v>164</v>
      </c>
      <c r="J39" s="3">
        <v>40</v>
      </c>
      <c r="K39" s="3" t="s">
        <v>166</v>
      </c>
    </row>
    <row r="40" spans="3:13" x14ac:dyDescent="0.2">
      <c r="C40" t="s">
        <v>132</v>
      </c>
      <c r="D40">
        <f>D37*$D33</f>
        <v>22.404</v>
      </c>
      <c r="E40" t="s">
        <v>105</v>
      </c>
      <c r="F40" s="3" t="s">
        <v>102</v>
      </c>
    </row>
    <row r="42" spans="3:13" x14ac:dyDescent="0.2">
      <c r="C42" s="41" t="s">
        <v>133</v>
      </c>
      <c r="D42" s="10">
        <f>D30-D35</f>
        <v>26.522626000000002</v>
      </c>
      <c r="E42" s="3" t="s">
        <v>86</v>
      </c>
      <c r="F42" t="s">
        <v>130</v>
      </c>
    </row>
    <row r="43" spans="3:13" x14ac:dyDescent="0.2">
      <c r="C43" s="41" t="s">
        <v>133</v>
      </c>
      <c r="D43">
        <f>D32*D42</f>
        <v>552.73152584000002</v>
      </c>
      <c r="E43" s="3" t="s">
        <v>105</v>
      </c>
      <c r="F43" t="s">
        <v>130</v>
      </c>
    </row>
    <row r="44" spans="3:13" x14ac:dyDescent="0.2">
      <c r="C44" s="41"/>
      <c r="E44" s="3"/>
    </row>
    <row r="46" spans="3:13" x14ac:dyDescent="0.2">
      <c r="C46" s="41" t="s">
        <v>131</v>
      </c>
      <c r="D46">
        <f>D43</f>
        <v>552.73152584000002</v>
      </c>
      <c r="E46" s="3" t="s">
        <v>105</v>
      </c>
      <c r="F46" t="s">
        <v>130</v>
      </c>
    </row>
    <row r="47" spans="3:13" x14ac:dyDescent="0.2">
      <c r="C47" s="41" t="s">
        <v>132</v>
      </c>
      <c r="D47">
        <f>D43-D46</f>
        <v>0</v>
      </c>
      <c r="E47" s="3" t="s">
        <v>105</v>
      </c>
      <c r="F47" t="s">
        <v>130</v>
      </c>
    </row>
    <row r="48" spans="3:13" x14ac:dyDescent="0.2">
      <c r="E48" s="3"/>
    </row>
    <row r="49" spans="1:5" ht="15" x14ac:dyDescent="0.25">
      <c r="D49" s="45" t="s">
        <v>141</v>
      </c>
      <c r="E49" s="8"/>
    </row>
    <row r="50" spans="1:5" x14ac:dyDescent="0.2">
      <c r="C50" s="46" t="s">
        <v>114</v>
      </c>
      <c r="D50">
        <f>'GAS 2000-2029 CY'!S45</f>
        <v>34.095599999999997</v>
      </c>
      <c r="E50" s="8" t="s">
        <v>142</v>
      </c>
    </row>
    <row r="51" spans="1:5" x14ac:dyDescent="0.2">
      <c r="C51" s="46" t="s">
        <v>115</v>
      </c>
      <c r="D51">
        <f>'GAS 2000-2029 CY'!S46</f>
        <v>40.8688</v>
      </c>
      <c r="E51" s="8" t="s">
        <v>142</v>
      </c>
    </row>
    <row r="52" spans="1:5" x14ac:dyDescent="0.2">
      <c r="C52" s="46" t="s">
        <v>113</v>
      </c>
      <c r="D52">
        <f>'GAS 2000-2029 CY'!S47</f>
        <v>51.200800000000008</v>
      </c>
      <c r="E52" s="8" t="s">
        <v>142</v>
      </c>
    </row>
    <row r="53" spans="1:5" x14ac:dyDescent="0.2">
      <c r="C53" t="s">
        <v>101</v>
      </c>
      <c r="D53">
        <f>SUM(D50:D52)</f>
        <v>126.1652</v>
      </c>
      <c r="E53" s="3" t="s">
        <v>105</v>
      </c>
    </row>
    <row r="56" spans="1:5" x14ac:dyDescent="0.2">
      <c r="A56" s="47"/>
      <c r="B56" s="47"/>
      <c r="C56">
        <v>2012</v>
      </c>
      <c r="D56">
        <v>2017</v>
      </c>
    </row>
    <row r="57" spans="1:5" x14ac:dyDescent="0.2">
      <c r="A57" s="48" t="str">
        <f>'GAS 2000-2029 CY'!A61</f>
        <v>Gas to FT process Secunda</v>
      </c>
      <c r="B57" s="48" t="s">
        <v>130</v>
      </c>
      <c r="C57" s="40">
        <f>'GAS 2000-2029 CY'!N61</f>
        <v>0.36050526367018354</v>
      </c>
      <c r="D57" s="40">
        <f>'GAS 2000-2029 CY'!S61</f>
        <v>0.23654242601110848</v>
      </c>
    </row>
    <row r="58" spans="1:5" x14ac:dyDescent="0.2">
      <c r="A58" s="48" t="str">
        <f>'GAS 2000-2029 CY'!A62</f>
        <v>Gas to Gas Turbines - Secunda</v>
      </c>
      <c r="B58" s="48" t="s">
        <v>102</v>
      </c>
      <c r="C58" s="40">
        <f>'GAS 2000-2029 CY'!N62</f>
        <v>0.18003177795955752</v>
      </c>
      <c r="D58" s="40">
        <f>'GAS 2000-2029 CY'!S62</f>
        <v>0.19323482930263192</v>
      </c>
    </row>
    <row r="59" spans="1:5" x14ac:dyDescent="0.2">
      <c r="A59" s="48" t="str">
        <f>'GAS 2000-2029 CY'!A63</f>
        <v>Gas to Gas Engines - Sasolburg</v>
      </c>
      <c r="B59" s="48" t="s">
        <v>102</v>
      </c>
      <c r="C59" s="40">
        <f>'GAS 2000-2029 CY'!N63</f>
        <v>4.0230564907163691E-3</v>
      </c>
      <c r="D59" s="40">
        <f>'GAS 2000-2029 CY'!S63</f>
        <v>0.10543616917361483</v>
      </c>
    </row>
    <row r="60" spans="1:5" x14ac:dyDescent="0.2">
      <c r="A60" s="48" t="str">
        <f>'GAS 2000-2029 CY'!A64</f>
        <v>Gas to FT process -Sasolburg</v>
      </c>
      <c r="B60" s="48" t="s">
        <v>130</v>
      </c>
      <c r="C60" s="40">
        <f>'GAS 2000-2029 CY'!N64</f>
        <v>0.43851315748808428</v>
      </c>
      <c r="D60" s="40">
        <f>'GAS 2000-2029 CY'!S64</f>
        <v>0.46478657551264468</v>
      </c>
    </row>
    <row r="62" spans="1:5" x14ac:dyDescent="0.2">
      <c r="D62" s="3" t="s">
        <v>105</v>
      </c>
    </row>
    <row r="63" spans="1:5" x14ac:dyDescent="0.2">
      <c r="B63" s="3" t="s">
        <v>764</v>
      </c>
      <c r="C63">
        <f>SUM(C59:C60)*$D$53</f>
        <v>55.83266994387818</v>
      </c>
      <c r="D63">
        <f>SUM(D57,D60)*$D$53</f>
        <v>88.483313743044633</v>
      </c>
    </row>
    <row r="64" spans="1:5" x14ac:dyDescent="0.2">
      <c r="D64">
        <f>D53-D63</f>
        <v>37.681886256955366</v>
      </c>
    </row>
    <row r="69" spans="2:7" x14ac:dyDescent="0.2">
      <c r="D69" s="44" t="s">
        <v>137</v>
      </c>
      <c r="E69" s="50" t="s">
        <v>140</v>
      </c>
    </row>
    <row r="71" spans="2:7" x14ac:dyDescent="0.2">
      <c r="F71" t="s">
        <v>131</v>
      </c>
      <c r="G71" t="s">
        <v>102</v>
      </c>
    </row>
    <row r="72" spans="2:7" x14ac:dyDescent="0.2">
      <c r="B72" s="44" t="s">
        <v>116</v>
      </c>
      <c r="C72" s="44"/>
      <c r="F72" s="53" t="s">
        <v>86</v>
      </c>
      <c r="G72" s="44" t="s">
        <v>105</v>
      </c>
    </row>
    <row r="73" spans="2:7" x14ac:dyDescent="0.2">
      <c r="B73" s="44" t="s">
        <v>86</v>
      </c>
      <c r="C73" s="44" t="s">
        <v>105</v>
      </c>
      <c r="F73" s="44">
        <f>D36</f>
        <v>13.777374</v>
      </c>
      <c r="G73" s="44">
        <f>D39</f>
        <v>287.12047416000001</v>
      </c>
    </row>
    <row r="74" spans="2:7" x14ac:dyDescent="0.2">
      <c r="B74" s="44">
        <f>D19</f>
        <v>36</v>
      </c>
      <c r="C74" s="44">
        <f>(B74 -D37)*D32 + D37*D33</f>
        <v>747.63599999999997</v>
      </c>
    </row>
    <row r="75" spans="2:7" x14ac:dyDescent="0.2">
      <c r="B75" s="3" t="s">
        <v>135</v>
      </c>
      <c r="F75" t="s">
        <v>136</v>
      </c>
      <c r="G75" t="s">
        <v>130</v>
      </c>
    </row>
    <row r="76" spans="2:7" x14ac:dyDescent="0.2">
      <c r="B76" s="53" t="s">
        <v>157</v>
      </c>
      <c r="C76" s="53" t="s">
        <v>105</v>
      </c>
      <c r="F76" s="53" t="s">
        <v>157</v>
      </c>
      <c r="G76" s="44" t="s">
        <v>105</v>
      </c>
    </row>
    <row r="77" spans="2:7" x14ac:dyDescent="0.2">
      <c r="B77" s="44">
        <f>D21</f>
        <v>3</v>
      </c>
      <c r="C77" s="44"/>
      <c r="F77" s="56">
        <f>D42</f>
        <v>26.522626000000002</v>
      </c>
      <c r="G77" s="44">
        <f>D46</f>
        <v>552.73152584000002</v>
      </c>
    </row>
    <row r="78" spans="2:7" x14ac:dyDescent="0.2">
      <c r="B78" s="3" t="s">
        <v>134</v>
      </c>
    </row>
    <row r="79" spans="2:7" x14ac:dyDescent="0.2">
      <c r="B79" s="53" t="s">
        <v>86</v>
      </c>
      <c r="C79" s="53" t="s">
        <v>105</v>
      </c>
      <c r="F79" t="s">
        <v>132</v>
      </c>
      <c r="G79" t="s">
        <v>102</v>
      </c>
    </row>
    <row r="80" spans="2:7" x14ac:dyDescent="0.2">
      <c r="B80" s="44">
        <f>D20</f>
        <v>8</v>
      </c>
      <c r="C80" s="44"/>
      <c r="F80" s="53" t="s">
        <v>157</v>
      </c>
      <c r="G80" s="44" t="s">
        <v>105</v>
      </c>
    </row>
    <row r="81" spans="2:12" x14ac:dyDescent="0.2">
      <c r="B81" s="3" t="s">
        <v>138</v>
      </c>
      <c r="F81" s="44">
        <f>D37</f>
        <v>1.2</v>
      </c>
      <c r="G81" s="44">
        <f>D40</f>
        <v>22.404</v>
      </c>
    </row>
    <row r="82" spans="2:12" x14ac:dyDescent="0.2">
      <c r="B82" s="51" t="s">
        <v>158</v>
      </c>
      <c r="C82" s="51" t="s">
        <v>105</v>
      </c>
    </row>
    <row r="83" spans="2:12" x14ac:dyDescent="0.2">
      <c r="B83" s="50"/>
      <c r="C83" s="50">
        <f>'GAS 2000-2029 CY'!S49</f>
        <v>126.1652</v>
      </c>
      <c r="F83" t="s">
        <v>132</v>
      </c>
      <c r="G83" t="s">
        <v>130</v>
      </c>
    </row>
    <row r="84" spans="2:12" x14ac:dyDescent="0.2">
      <c r="F84" s="53" t="s">
        <v>157</v>
      </c>
      <c r="G84" s="44" t="s">
        <v>105</v>
      </c>
    </row>
    <row r="85" spans="2:12" x14ac:dyDescent="0.2">
      <c r="F85" s="44">
        <f>0</f>
        <v>0</v>
      </c>
      <c r="G85" s="44">
        <f>D47</f>
        <v>0</v>
      </c>
    </row>
    <row r="87" spans="2:12" x14ac:dyDescent="0.2">
      <c r="F87" s="3" t="s">
        <v>131</v>
      </c>
      <c r="G87" s="3" t="s">
        <v>102</v>
      </c>
    </row>
    <row r="88" spans="2:12" x14ac:dyDescent="0.2">
      <c r="F88" s="51" t="s">
        <v>180</v>
      </c>
      <c r="G88" s="50" t="s">
        <v>105</v>
      </c>
    </row>
    <row r="89" spans="2:12" x14ac:dyDescent="0.2">
      <c r="B89" s="3"/>
      <c r="F89" s="52">
        <f>G89/CV_GasSASOL/'Calorific values'!$I$8</f>
        <v>45.928830817231542</v>
      </c>
      <c r="G89" s="52">
        <f>SUM('SASOL NIR 2017'!U11:U12)-G93</f>
        <v>52.726297778181817</v>
      </c>
      <c r="H89" s="84">
        <f>G89/SUM(G89,G93)</f>
        <v>0.8876263235522236</v>
      </c>
      <c r="J89" s="3" t="s">
        <v>101</v>
      </c>
      <c r="K89" s="3" t="s">
        <v>170</v>
      </c>
    </row>
    <row r="90" spans="2:12" x14ac:dyDescent="0.2">
      <c r="B90" s="3"/>
      <c r="H90" s="84"/>
      <c r="J90" s="51" t="s">
        <v>180</v>
      </c>
      <c r="K90" s="50" t="s">
        <v>105</v>
      </c>
    </row>
    <row r="91" spans="2:12" x14ac:dyDescent="0.2">
      <c r="B91" s="3"/>
      <c r="F91" s="3" t="s">
        <v>132</v>
      </c>
      <c r="G91" s="3" t="s">
        <v>102</v>
      </c>
      <c r="H91" s="84"/>
      <c r="J91" s="52">
        <f>SUM(F89,F93,F97,F101)</f>
        <v>109.89999999999999</v>
      </c>
      <c r="K91" s="52">
        <f>SUM(G89,G93,G97,G101)</f>
        <v>126.1652</v>
      </c>
      <c r="L91" s="159"/>
    </row>
    <row r="92" spans="2:12" x14ac:dyDescent="0.2">
      <c r="B92" s="3"/>
      <c r="F92" s="51" t="s">
        <v>180</v>
      </c>
      <c r="G92" s="50" t="s">
        <v>105</v>
      </c>
      <c r="H92" s="84"/>
    </row>
    <row r="93" spans="2:12" x14ac:dyDescent="0.2">
      <c r="F93" s="52">
        <f>G93/CV_GasSASOL/'Calorific values'!$I$8</f>
        <v>5.8145994963573022</v>
      </c>
      <c r="G93" s="50">
        <f>NERSA2017!J145*0.000001</f>
        <v>6.6751602218181825</v>
      </c>
      <c r="H93" s="84">
        <f>1-H89</f>
        <v>0.1123736764477764</v>
      </c>
      <c r="J93" s="3" t="s">
        <v>101</v>
      </c>
      <c r="K93" s="3" t="s">
        <v>102</v>
      </c>
      <c r="L93" s="3" t="s">
        <v>765</v>
      </c>
    </row>
    <row r="94" spans="2:12" x14ac:dyDescent="0.2">
      <c r="H94" s="84"/>
      <c r="J94" s="51" t="s">
        <v>180</v>
      </c>
      <c r="K94" s="51" t="s">
        <v>105</v>
      </c>
      <c r="L94" s="3" t="s">
        <v>105</v>
      </c>
    </row>
    <row r="95" spans="2:12" x14ac:dyDescent="0.2">
      <c r="F95" s="3" t="s">
        <v>131</v>
      </c>
      <c r="G95" s="3" t="s">
        <v>130</v>
      </c>
      <c r="H95" s="84"/>
      <c r="J95" s="52">
        <f>SUM(F89,F93)</f>
        <v>51.743430313588846</v>
      </c>
      <c r="K95" s="52">
        <f>SUM(G89,G93)</f>
        <v>59.401457999999998</v>
      </c>
      <c r="L95" s="204">
        <f>'Secunda Emissions 2019 etc'!H68</f>
        <v>66.261376800000008</v>
      </c>
    </row>
    <row r="96" spans="2:12" x14ac:dyDescent="0.2">
      <c r="F96" s="51" t="s">
        <v>180</v>
      </c>
      <c r="G96" s="50" t="s">
        <v>105</v>
      </c>
      <c r="H96" s="84"/>
    </row>
    <row r="97" spans="6:11" x14ac:dyDescent="0.2">
      <c r="F97" s="52">
        <f>G97/CV_GasSASOL/'Calorific values'!$I$8</f>
        <v>19.614896934562125</v>
      </c>
      <c r="G97" s="52">
        <f>H97*(D53-SUM(G89,G93))</f>
        <v>22.517901680877323</v>
      </c>
      <c r="H97" s="84">
        <f>D57/SUM(D57,D60)</f>
        <v>0.33727740546474044</v>
      </c>
    </row>
    <row r="98" spans="6:11" x14ac:dyDescent="0.2">
      <c r="H98" s="84"/>
      <c r="J98" s="3" t="s">
        <v>763</v>
      </c>
    </row>
    <row r="99" spans="6:11" x14ac:dyDescent="0.2">
      <c r="F99" s="3" t="s">
        <v>132</v>
      </c>
      <c r="G99" s="3" t="s">
        <v>130</v>
      </c>
      <c r="H99" s="84"/>
      <c r="J99" s="51" t="s">
        <v>180</v>
      </c>
      <c r="K99" s="50" t="s">
        <v>105</v>
      </c>
    </row>
    <row r="100" spans="6:11" x14ac:dyDescent="0.2">
      <c r="F100" s="51" t="s">
        <v>180</v>
      </c>
      <c r="G100" s="50" t="s">
        <v>105</v>
      </c>
      <c r="H100" s="84"/>
      <c r="J100" s="52">
        <f>SUM(F97,F101)</f>
        <v>58.156569686411146</v>
      </c>
      <c r="K100" s="52">
        <f>SUM(G97,G101)</f>
        <v>66.763742000000008</v>
      </c>
    </row>
    <row r="101" spans="6:11" x14ac:dyDescent="0.2">
      <c r="F101" s="52">
        <f>G101/CV_GasSASOL/'Calorific values'!$I$8</f>
        <v>38.541672751849021</v>
      </c>
      <c r="G101" s="52">
        <f>H101*(D53-SUM(G89,G93))</f>
        <v>44.245840319122678</v>
      </c>
      <c r="H101" s="84">
        <f>1-H97</f>
        <v>0.6627225945352595</v>
      </c>
    </row>
    <row r="134" spans="9:10" x14ac:dyDescent="0.2">
      <c r="I134" s="159"/>
      <c r="J134" s="159"/>
    </row>
  </sheetData>
  <phoneticPr fontId="23" type="noConversion"/>
  <hyperlinks>
    <hyperlink ref="A1" r:id="rId1" display="https://www.sasol.com/sites/default/files/financial_reports/Additional Analyst Information - 31 December 2017.pdf" xr:uid="{00000000-0004-0000-0000-000000000000}"/>
  </hyperlinks>
  <pageMargins left="0.7" right="0.7" top="0.75" bottom="0.75" header="0.3" footer="0.3"/>
  <pageSetup paperSize="9"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FFD63-F325-49BC-B2B4-C31513CBC298}">
  <sheetPr filterMode="1"/>
  <dimension ref="A1:P162"/>
  <sheetViews>
    <sheetView zoomScale="86" zoomScaleNormal="86" workbookViewId="0">
      <pane ySplit="1" topLeftCell="A2" activePane="bottomLeft" state="frozen"/>
      <selection activeCell="C52" sqref="C52"/>
      <selection pane="bottomLeft" activeCell="K143" sqref="K143"/>
    </sheetView>
  </sheetViews>
  <sheetFormatPr defaultRowHeight="15" x14ac:dyDescent="0.25"/>
  <cols>
    <col min="1" max="1" width="25.1640625" style="61" customWidth="1"/>
    <col min="2" max="2" width="55.6640625" style="61" bestFit="1" customWidth="1"/>
    <col min="3" max="3" width="13.83203125" style="61" bestFit="1" customWidth="1"/>
    <col min="4" max="4" width="54.83203125" style="61" bestFit="1" customWidth="1"/>
    <col min="5" max="5" width="33.33203125" style="61" bestFit="1" customWidth="1"/>
    <col min="6" max="6" width="24.83203125" style="61" bestFit="1" customWidth="1"/>
    <col min="7" max="7" width="9.6640625" style="61" customWidth="1"/>
    <col min="8" max="8" width="15" style="61" customWidth="1"/>
    <col min="9" max="9" width="19.1640625" style="61" customWidth="1"/>
    <col min="10" max="10" width="18" style="61" customWidth="1"/>
    <col min="11" max="12" width="15.6640625" style="61" customWidth="1"/>
    <col min="13" max="13" width="17.6640625" style="61" bestFit="1" customWidth="1"/>
    <col min="14" max="14" width="14.6640625" style="61" customWidth="1"/>
    <col min="15" max="15" width="14" style="61" bestFit="1" customWidth="1"/>
    <col min="16" max="256" width="9.33203125" style="61"/>
    <col min="257" max="257" width="25.1640625" style="61" customWidth="1"/>
    <col min="258" max="258" width="55.6640625" style="61" bestFit="1" customWidth="1"/>
    <col min="259" max="259" width="13.83203125" style="61" bestFit="1" customWidth="1"/>
    <col min="260" max="260" width="54.83203125" style="61" bestFit="1" customWidth="1"/>
    <col min="261" max="261" width="33.33203125" style="61" bestFit="1" customWidth="1"/>
    <col min="262" max="262" width="24.83203125" style="61" bestFit="1" customWidth="1"/>
    <col min="263" max="263" width="9.6640625" style="61" customWidth="1"/>
    <col min="264" max="264" width="15" style="61" customWidth="1"/>
    <col min="265" max="265" width="13.33203125" style="61" customWidth="1"/>
    <col min="266" max="266" width="18" style="61" customWidth="1"/>
    <col min="267" max="268" width="15.6640625" style="61" customWidth="1"/>
    <col min="269" max="269" width="17.6640625" style="61" bestFit="1" customWidth="1"/>
    <col min="270" max="270" width="14.6640625" style="61" customWidth="1"/>
    <col min="271" max="271" width="14" style="61" bestFit="1" customWidth="1"/>
    <col min="272" max="512" width="9.33203125" style="61"/>
    <col min="513" max="513" width="25.1640625" style="61" customWidth="1"/>
    <col min="514" max="514" width="55.6640625" style="61" bestFit="1" customWidth="1"/>
    <col min="515" max="515" width="13.83203125" style="61" bestFit="1" customWidth="1"/>
    <col min="516" max="516" width="54.83203125" style="61" bestFit="1" customWidth="1"/>
    <col min="517" max="517" width="33.33203125" style="61" bestFit="1" customWidth="1"/>
    <col min="518" max="518" width="24.83203125" style="61" bestFit="1" customWidth="1"/>
    <col min="519" max="519" width="9.6640625" style="61" customWidth="1"/>
    <col min="520" max="520" width="15" style="61" customWidth="1"/>
    <col min="521" max="521" width="13.33203125" style="61" customWidth="1"/>
    <col min="522" max="522" width="18" style="61" customWidth="1"/>
    <col min="523" max="524" width="15.6640625" style="61" customWidth="1"/>
    <col min="525" max="525" width="17.6640625" style="61" bestFit="1" customWidth="1"/>
    <col min="526" max="526" width="14.6640625" style="61" customWidth="1"/>
    <col min="527" max="527" width="14" style="61" bestFit="1" customWidth="1"/>
    <col min="528" max="768" width="9.33203125" style="61"/>
    <col min="769" max="769" width="25.1640625" style="61" customWidth="1"/>
    <col min="770" max="770" width="55.6640625" style="61" bestFit="1" customWidth="1"/>
    <col min="771" max="771" width="13.83203125" style="61" bestFit="1" customWidth="1"/>
    <col min="772" max="772" width="54.83203125" style="61" bestFit="1" customWidth="1"/>
    <col min="773" max="773" width="33.33203125" style="61" bestFit="1" customWidth="1"/>
    <col min="774" max="774" width="24.83203125" style="61" bestFit="1" customWidth="1"/>
    <col min="775" max="775" width="9.6640625" style="61" customWidth="1"/>
    <col min="776" max="776" width="15" style="61" customWidth="1"/>
    <col min="777" max="777" width="13.33203125" style="61" customWidth="1"/>
    <col min="778" max="778" width="18" style="61" customWidth="1"/>
    <col min="779" max="780" width="15.6640625" style="61" customWidth="1"/>
    <col min="781" max="781" width="17.6640625" style="61" bestFit="1" customWidth="1"/>
    <col min="782" max="782" width="14.6640625" style="61" customWidth="1"/>
    <col min="783" max="783" width="14" style="61" bestFit="1" customWidth="1"/>
    <col min="784" max="1024" width="9.33203125" style="61"/>
    <col min="1025" max="1025" width="25.1640625" style="61" customWidth="1"/>
    <col min="1026" max="1026" width="55.6640625" style="61" bestFit="1" customWidth="1"/>
    <col min="1027" max="1027" width="13.83203125" style="61" bestFit="1" customWidth="1"/>
    <col min="1028" max="1028" width="54.83203125" style="61" bestFit="1" customWidth="1"/>
    <col min="1029" max="1029" width="33.33203125" style="61" bestFit="1" customWidth="1"/>
    <col min="1030" max="1030" width="24.83203125" style="61" bestFit="1" customWidth="1"/>
    <col min="1031" max="1031" width="9.6640625" style="61" customWidth="1"/>
    <col min="1032" max="1032" width="15" style="61" customWidth="1"/>
    <col min="1033" max="1033" width="13.33203125" style="61" customWidth="1"/>
    <col min="1034" max="1034" width="18" style="61" customWidth="1"/>
    <col min="1035" max="1036" width="15.6640625" style="61" customWidth="1"/>
    <col min="1037" max="1037" width="17.6640625" style="61" bestFit="1" customWidth="1"/>
    <col min="1038" max="1038" width="14.6640625" style="61" customWidth="1"/>
    <col min="1039" max="1039" width="14" style="61" bestFit="1" customWidth="1"/>
    <col min="1040" max="1280" width="9.33203125" style="61"/>
    <col min="1281" max="1281" width="25.1640625" style="61" customWidth="1"/>
    <col min="1282" max="1282" width="55.6640625" style="61" bestFit="1" customWidth="1"/>
    <col min="1283" max="1283" width="13.83203125" style="61" bestFit="1" customWidth="1"/>
    <col min="1284" max="1284" width="54.83203125" style="61" bestFit="1" customWidth="1"/>
    <col min="1285" max="1285" width="33.33203125" style="61" bestFit="1" customWidth="1"/>
    <col min="1286" max="1286" width="24.83203125" style="61" bestFit="1" customWidth="1"/>
    <col min="1287" max="1287" width="9.6640625" style="61" customWidth="1"/>
    <col min="1288" max="1288" width="15" style="61" customWidth="1"/>
    <col min="1289" max="1289" width="13.33203125" style="61" customWidth="1"/>
    <col min="1290" max="1290" width="18" style="61" customWidth="1"/>
    <col min="1291" max="1292" width="15.6640625" style="61" customWidth="1"/>
    <col min="1293" max="1293" width="17.6640625" style="61" bestFit="1" customWidth="1"/>
    <col min="1294" max="1294" width="14.6640625" style="61" customWidth="1"/>
    <col min="1295" max="1295" width="14" style="61" bestFit="1" customWidth="1"/>
    <col min="1296" max="1536" width="9.33203125" style="61"/>
    <col min="1537" max="1537" width="25.1640625" style="61" customWidth="1"/>
    <col min="1538" max="1538" width="55.6640625" style="61" bestFit="1" customWidth="1"/>
    <col min="1539" max="1539" width="13.83203125" style="61" bestFit="1" customWidth="1"/>
    <col min="1540" max="1540" width="54.83203125" style="61" bestFit="1" customWidth="1"/>
    <col min="1541" max="1541" width="33.33203125" style="61" bestFit="1" customWidth="1"/>
    <col min="1542" max="1542" width="24.83203125" style="61" bestFit="1" customWidth="1"/>
    <col min="1543" max="1543" width="9.6640625" style="61" customWidth="1"/>
    <col min="1544" max="1544" width="15" style="61" customWidth="1"/>
    <col min="1545" max="1545" width="13.33203125" style="61" customWidth="1"/>
    <col min="1546" max="1546" width="18" style="61" customWidth="1"/>
    <col min="1547" max="1548" width="15.6640625" style="61" customWidth="1"/>
    <col min="1549" max="1549" width="17.6640625" style="61" bestFit="1" customWidth="1"/>
    <col min="1550" max="1550" width="14.6640625" style="61" customWidth="1"/>
    <col min="1551" max="1551" width="14" style="61" bestFit="1" customWidth="1"/>
    <col min="1552" max="1792" width="9.33203125" style="61"/>
    <col min="1793" max="1793" width="25.1640625" style="61" customWidth="1"/>
    <col min="1794" max="1794" width="55.6640625" style="61" bestFit="1" customWidth="1"/>
    <col min="1795" max="1795" width="13.83203125" style="61" bestFit="1" customWidth="1"/>
    <col min="1796" max="1796" width="54.83203125" style="61" bestFit="1" customWidth="1"/>
    <col min="1797" max="1797" width="33.33203125" style="61" bestFit="1" customWidth="1"/>
    <col min="1798" max="1798" width="24.83203125" style="61" bestFit="1" customWidth="1"/>
    <col min="1799" max="1799" width="9.6640625" style="61" customWidth="1"/>
    <col min="1800" max="1800" width="15" style="61" customWidth="1"/>
    <col min="1801" max="1801" width="13.33203125" style="61" customWidth="1"/>
    <col min="1802" max="1802" width="18" style="61" customWidth="1"/>
    <col min="1803" max="1804" width="15.6640625" style="61" customWidth="1"/>
    <col min="1805" max="1805" width="17.6640625" style="61" bestFit="1" customWidth="1"/>
    <col min="1806" max="1806" width="14.6640625" style="61" customWidth="1"/>
    <col min="1807" max="1807" width="14" style="61" bestFit="1" customWidth="1"/>
    <col min="1808" max="2048" width="9.33203125" style="61"/>
    <col min="2049" max="2049" width="25.1640625" style="61" customWidth="1"/>
    <col min="2050" max="2050" width="55.6640625" style="61" bestFit="1" customWidth="1"/>
    <col min="2051" max="2051" width="13.83203125" style="61" bestFit="1" customWidth="1"/>
    <col min="2052" max="2052" width="54.83203125" style="61" bestFit="1" customWidth="1"/>
    <col min="2053" max="2053" width="33.33203125" style="61" bestFit="1" customWidth="1"/>
    <col min="2054" max="2054" width="24.83203125" style="61" bestFit="1" customWidth="1"/>
    <col min="2055" max="2055" width="9.6640625" style="61" customWidth="1"/>
    <col min="2056" max="2056" width="15" style="61" customWidth="1"/>
    <col min="2057" max="2057" width="13.33203125" style="61" customWidth="1"/>
    <col min="2058" max="2058" width="18" style="61" customWidth="1"/>
    <col min="2059" max="2060" width="15.6640625" style="61" customWidth="1"/>
    <col min="2061" max="2061" width="17.6640625" style="61" bestFit="1" customWidth="1"/>
    <col min="2062" max="2062" width="14.6640625" style="61" customWidth="1"/>
    <col min="2063" max="2063" width="14" style="61" bestFit="1" customWidth="1"/>
    <col min="2064" max="2304" width="9.33203125" style="61"/>
    <col min="2305" max="2305" width="25.1640625" style="61" customWidth="1"/>
    <col min="2306" max="2306" width="55.6640625" style="61" bestFit="1" customWidth="1"/>
    <col min="2307" max="2307" width="13.83203125" style="61" bestFit="1" customWidth="1"/>
    <col min="2308" max="2308" width="54.83203125" style="61" bestFit="1" customWidth="1"/>
    <col min="2309" max="2309" width="33.33203125" style="61" bestFit="1" customWidth="1"/>
    <col min="2310" max="2310" width="24.83203125" style="61" bestFit="1" customWidth="1"/>
    <col min="2311" max="2311" width="9.6640625" style="61" customWidth="1"/>
    <col min="2312" max="2312" width="15" style="61" customWidth="1"/>
    <col min="2313" max="2313" width="13.33203125" style="61" customWidth="1"/>
    <col min="2314" max="2314" width="18" style="61" customWidth="1"/>
    <col min="2315" max="2316" width="15.6640625" style="61" customWidth="1"/>
    <col min="2317" max="2317" width="17.6640625" style="61" bestFit="1" customWidth="1"/>
    <col min="2318" max="2318" width="14.6640625" style="61" customWidth="1"/>
    <col min="2319" max="2319" width="14" style="61" bestFit="1" customWidth="1"/>
    <col min="2320" max="2560" width="9.33203125" style="61"/>
    <col min="2561" max="2561" width="25.1640625" style="61" customWidth="1"/>
    <col min="2562" max="2562" width="55.6640625" style="61" bestFit="1" customWidth="1"/>
    <col min="2563" max="2563" width="13.83203125" style="61" bestFit="1" customWidth="1"/>
    <col min="2564" max="2564" width="54.83203125" style="61" bestFit="1" customWidth="1"/>
    <col min="2565" max="2565" width="33.33203125" style="61" bestFit="1" customWidth="1"/>
    <col min="2566" max="2566" width="24.83203125" style="61" bestFit="1" customWidth="1"/>
    <col min="2567" max="2567" width="9.6640625" style="61" customWidth="1"/>
    <col min="2568" max="2568" width="15" style="61" customWidth="1"/>
    <col min="2569" max="2569" width="13.33203125" style="61" customWidth="1"/>
    <col min="2570" max="2570" width="18" style="61" customWidth="1"/>
    <col min="2571" max="2572" width="15.6640625" style="61" customWidth="1"/>
    <col min="2573" max="2573" width="17.6640625" style="61" bestFit="1" customWidth="1"/>
    <col min="2574" max="2574" width="14.6640625" style="61" customWidth="1"/>
    <col min="2575" max="2575" width="14" style="61" bestFit="1" customWidth="1"/>
    <col min="2576" max="2816" width="9.33203125" style="61"/>
    <col min="2817" max="2817" width="25.1640625" style="61" customWidth="1"/>
    <col min="2818" max="2818" width="55.6640625" style="61" bestFit="1" customWidth="1"/>
    <col min="2819" max="2819" width="13.83203125" style="61" bestFit="1" customWidth="1"/>
    <col min="2820" max="2820" width="54.83203125" style="61" bestFit="1" customWidth="1"/>
    <col min="2821" max="2821" width="33.33203125" style="61" bestFit="1" customWidth="1"/>
    <col min="2822" max="2822" width="24.83203125" style="61" bestFit="1" customWidth="1"/>
    <col min="2823" max="2823" width="9.6640625" style="61" customWidth="1"/>
    <col min="2824" max="2824" width="15" style="61" customWidth="1"/>
    <col min="2825" max="2825" width="13.33203125" style="61" customWidth="1"/>
    <col min="2826" max="2826" width="18" style="61" customWidth="1"/>
    <col min="2827" max="2828" width="15.6640625" style="61" customWidth="1"/>
    <col min="2829" max="2829" width="17.6640625" style="61" bestFit="1" customWidth="1"/>
    <col min="2830" max="2830" width="14.6640625" style="61" customWidth="1"/>
    <col min="2831" max="2831" width="14" style="61" bestFit="1" customWidth="1"/>
    <col min="2832" max="3072" width="9.33203125" style="61"/>
    <col min="3073" max="3073" width="25.1640625" style="61" customWidth="1"/>
    <col min="3074" max="3074" width="55.6640625" style="61" bestFit="1" customWidth="1"/>
    <col min="3075" max="3075" width="13.83203125" style="61" bestFit="1" customWidth="1"/>
    <col min="3076" max="3076" width="54.83203125" style="61" bestFit="1" customWidth="1"/>
    <col min="3077" max="3077" width="33.33203125" style="61" bestFit="1" customWidth="1"/>
    <col min="3078" max="3078" width="24.83203125" style="61" bestFit="1" customWidth="1"/>
    <col min="3079" max="3079" width="9.6640625" style="61" customWidth="1"/>
    <col min="3080" max="3080" width="15" style="61" customWidth="1"/>
    <col min="3081" max="3081" width="13.33203125" style="61" customWidth="1"/>
    <col min="3082" max="3082" width="18" style="61" customWidth="1"/>
    <col min="3083" max="3084" width="15.6640625" style="61" customWidth="1"/>
    <col min="3085" max="3085" width="17.6640625" style="61" bestFit="1" customWidth="1"/>
    <col min="3086" max="3086" width="14.6640625" style="61" customWidth="1"/>
    <col min="3087" max="3087" width="14" style="61" bestFit="1" customWidth="1"/>
    <col min="3088" max="3328" width="9.33203125" style="61"/>
    <col min="3329" max="3329" width="25.1640625" style="61" customWidth="1"/>
    <col min="3330" max="3330" width="55.6640625" style="61" bestFit="1" customWidth="1"/>
    <col min="3331" max="3331" width="13.83203125" style="61" bestFit="1" customWidth="1"/>
    <col min="3332" max="3332" width="54.83203125" style="61" bestFit="1" customWidth="1"/>
    <col min="3333" max="3333" width="33.33203125" style="61" bestFit="1" customWidth="1"/>
    <col min="3334" max="3334" width="24.83203125" style="61" bestFit="1" customWidth="1"/>
    <col min="3335" max="3335" width="9.6640625" style="61" customWidth="1"/>
    <col min="3336" max="3336" width="15" style="61" customWidth="1"/>
    <col min="3337" max="3337" width="13.33203125" style="61" customWidth="1"/>
    <col min="3338" max="3338" width="18" style="61" customWidth="1"/>
    <col min="3339" max="3340" width="15.6640625" style="61" customWidth="1"/>
    <col min="3341" max="3341" width="17.6640625" style="61" bestFit="1" customWidth="1"/>
    <col min="3342" max="3342" width="14.6640625" style="61" customWidth="1"/>
    <col min="3343" max="3343" width="14" style="61" bestFit="1" customWidth="1"/>
    <col min="3344" max="3584" width="9.33203125" style="61"/>
    <col min="3585" max="3585" width="25.1640625" style="61" customWidth="1"/>
    <col min="3586" max="3586" width="55.6640625" style="61" bestFit="1" customWidth="1"/>
    <col min="3587" max="3587" width="13.83203125" style="61" bestFit="1" customWidth="1"/>
    <col min="3588" max="3588" width="54.83203125" style="61" bestFit="1" customWidth="1"/>
    <col min="3589" max="3589" width="33.33203125" style="61" bestFit="1" customWidth="1"/>
    <col min="3590" max="3590" width="24.83203125" style="61" bestFit="1" customWidth="1"/>
    <col min="3591" max="3591" width="9.6640625" style="61" customWidth="1"/>
    <col min="3592" max="3592" width="15" style="61" customWidth="1"/>
    <col min="3593" max="3593" width="13.33203125" style="61" customWidth="1"/>
    <col min="3594" max="3594" width="18" style="61" customWidth="1"/>
    <col min="3595" max="3596" width="15.6640625" style="61" customWidth="1"/>
    <col min="3597" max="3597" width="17.6640625" style="61" bestFit="1" customWidth="1"/>
    <col min="3598" max="3598" width="14.6640625" style="61" customWidth="1"/>
    <col min="3599" max="3599" width="14" style="61" bestFit="1" customWidth="1"/>
    <col min="3600" max="3840" width="9.33203125" style="61"/>
    <col min="3841" max="3841" width="25.1640625" style="61" customWidth="1"/>
    <col min="3842" max="3842" width="55.6640625" style="61" bestFit="1" customWidth="1"/>
    <col min="3843" max="3843" width="13.83203125" style="61" bestFit="1" customWidth="1"/>
    <col min="3844" max="3844" width="54.83203125" style="61" bestFit="1" customWidth="1"/>
    <col min="3845" max="3845" width="33.33203125" style="61" bestFit="1" customWidth="1"/>
    <col min="3846" max="3846" width="24.83203125" style="61" bestFit="1" customWidth="1"/>
    <col min="3847" max="3847" width="9.6640625" style="61" customWidth="1"/>
    <col min="3848" max="3848" width="15" style="61" customWidth="1"/>
    <col min="3849" max="3849" width="13.33203125" style="61" customWidth="1"/>
    <col min="3850" max="3850" width="18" style="61" customWidth="1"/>
    <col min="3851" max="3852" width="15.6640625" style="61" customWidth="1"/>
    <col min="3853" max="3853" width="17.6640625" style="61" bestFit="1" customWidth="1"/>
    <col min="3854" max="3854" width="14.6640625" style="61" customWidth="1"/>
    <col min="3855" max="3855" width="14" style="61" bestFit="1" customWidth="1"/>
    <col min="3856" max="4096" width="9.33203125" style="61"/>
    <col min="4097" max="4097" width="25.1640625" style="61" customWidth="1"/>
    <col min="4098" max="4098" width="55.6640625" style="61" bestFit="1" customWidth="1"/>
    <col min="4099" max="4099" width="13.83203125" style="61" bestFit="1" customWidth="1"/>
    <col min="4100" max="4100" width="54.83203125" style="61" bestFit="1" customWidth="1"/>
    <col min="4101" max="4101" width="33.33203125" style="61" bestFit="1" customWidth="1"/>
    <col min="4102" max="4102" width="24.83203125" style="61" bestFit="1" customWidth="1"/>
    <col min="4103" max="4103" width="9.6640625" style="61" customWidth="1"/>
    <col min="4104" max="4104" width="15" style="61" customWidth="1"/>
    <col min="4105" max="4105" width="13.33203125" style="61" customWidth="1"/>
    <col min="4106" max="4106" width="18" style="61" customWidth="1"/>
    <col min="4107" max="4108" width="15.6640625" style="61" customWidth="1"/>
    <col min="4109" max="4109" width="17.6640625" style="61" bestFit="1" customWidth="1"/>
    <col min="4110" max="4110" width="14.6640625" style="61" customWidth="1"/>
    <col min="4111" max="4111" width="14" style="61" bestFit="1" customWidth="1"/>
    <col min="4112" max="4352" width="9.33203125" style="61"/>
    <col min="4353" max="4353" width="25.1640625" style="61" customWidth="1"/>
    <col min="4354" max="4354" width="55.6640625" style="61" bestFit="1" customWidth="1"/>
    <col min="4355" max="4355" width="13.83203125" style="61" bestFit="1" customWidth="1"/>
    <col min="4356" max="4356" width="54.83203125" style="61" bestFit="1" customWidth="1"/>
    <col min="4357" max="4357" width="33.33203125" style="61" bestFit="1" customWidth="1"/>
    <col min="4358" max="4358" width="24.83203125" style="61" bestFit="1" customWidth="1"/>
    <col min="4359" max="4359" width="9.6640625" style="61" customWidth="1"/>
    <col min="4360" max="4360" width="15" style="61" customWidth="1"/>
    <col min="4361" max="4361" width="13.33203125" style="61" customWidth="1"/>
    <col min="4362" max="4362" width="18" style="61" customWidth="1"/>
    <col min="4363" max="4364" width="15.6640625" style="61" customWidth="1"/>
    <col min="4365" max="4365" width="17.6640625" style="61" bestFit="1" customWidth="1"/>
    <col min="4366" max="4366" width="14.6640625" style="61" customWidth="1"/>
    <col min="4367" max="4367" width="14" style="61" bestFit="1" customWidth="1"/>
    <col min="4368" max="4608" width="9.33203125" style="61"/>
    <col min="4609" max="4609" width="25.1640625" style="61" customWidth="1"/>
    <col min="4610" max="4610" width="55.6640625" style="61" bestFit="1" customWidth="1"/>
    <col min="4611" max="4611" width="13.83203125" style="61" bestFit="1" customWidth="1"/>
    <col min="4612" max="4612" width="54.83203125" style="61" bestFit="1" customWidth="1"/>
    <col min="4613" max="4613" width="33.33203125" style="61" bestFit="1" customWidth="1"/>
    <col min="4614" max="4614" width="24.83203125" style="61" bestFit="1" customWidth="1"/>
    <col min="4615" max="4615" width="9.6640625" style="61" customWidth="1"/>
    <col min="4616" max="4616" width="15" style="61" customWidth="1"/>
    <col min="4617" max="4617" width="13.33203125" style="61" customWidth="1"/>
    <col min="4618" max="4618" width="18" style="61" customWidth="1"/>
    <col min="4619" max="4620" width="15.6640625" style="61" customWidth="1"/>
    <col min="4621" max="4621" width="17.6640625" style="61" bestFit="1" customWidth="1"/>
    <col min="4622" max="4622" width="14.6640625" style="61" customWidth="1"/>
    <col min="4623" max="4623" width="14" style="61" bestFit="1" customWidth="1"/>
    <col min="4624" max="4864" width="9.33203125" style="61"/>
    <col min="4865" max="4865" width="25.1640625" style="61" customWidth="1"/>
    <col min="4866" max="4866" width="55.6640625" style="61" bestFit="1" customWidth="1"/>
    <col min="4867" max="4867" width="13.83203125" style="61" bestFit="1" customWidth="1"/>
    <col min="4868" max="4868" width="54.83203125" style="61" bestFit="1" customWidth="1"/>
    <col min="4869" max="4869" width="33.33203125" style="61" bestFit="1" customWidth="1"/>
    <col min="4870" max="4870" width="24.83203125" style="61" bestFit="1" customWidth="1"/>
    <col min="4871" max="4871" width="9.6640625" style="61" customWidth="1"/>
    <col min="4872" max="4872" width="15" style="61" customWidth="1"/>
    <col min="4873" max="4873" width="13.33203125" style="61" customWidth="1"/>
    <col min="4874" max="4874" width="18" style="61" customWidth="1"/>
    <col min="4875" max="4876" width="15.6640625" style="61" customWidth="1"/>
    <col min="4877" max="4877" width="17.6640625" style="61" bestFit="1" customWidth="1"/>
    <col min="4878" max="4878" width="14.6640625" style="61" customWidth="1"/>
    <col min="4879" max="4879" width="14" style="61" bestFit="1" customWidth="1"/>
    <col min="4880" max="5120" width="9.33203125" style="61"/>
    <col min="5121" max="5121" width="25.1640625" style="61" customWidth="1"/>
    <col min="5122" max="5122" width="55.6640625" style="61" bestFit="1" customWidth="1"/>
    <col min="5123" max="5123" width="13.83203125" style="61" bestFit="1" customWidth="1"/>
    <col min="5124" max="5124" width="54.83203125" style="61" bestFit="1" customWidth="1"/>
    <col min="5125" max="5125" width="33.33203125" style="61" bestFit="1" customWidth="1"/>
    <col min="5126" max="5126" width="24.83203125" style="61" bestFit="1" customWidth="1"/>
    <col min="5127" max="5127" width="9.6640625" style="61" customWidth="1"/>
    <col min="5128" max="5128" width="15" style="61" customWidth="1"/>
    <col min="5129" max="5129" width="13.33203125" style="61" customWidth="1"/>
    <col min="5130" max="5130" width="18" style="61" customWidth="1"/>
    <col min="5131" max="5132" width="15.6640625" style="61" customWidth="1"/>
    <col min="5133" max="5133" width="17.6640625" style="61" bestFit="1" customWidth="1"/>
    <col min="5134" max="5134" width="14.6640625" style="61" customWidth="1"/>
    <col min="5135" max="5135" width="14" style="61" bestFit="1" customWidth="1"/>
    <col min="5136" max="5376" width="9.33203125" style="61"/>
    <col min="5377" max="5377" width="25.1640625" style="61" customWidth="1"/>
    <col min="5378" max="5378" width="55.6640625" style="61" bestFit="1" customWidth="1"/>
    <col min="5379" max="5379" width="13.83203125" style="61" bestFit="1" customWidth="1"/>
    <col min="5380" max="5380" width="54.83203125" style="61" bestFit="1" customWidth="1"/>
    <col min="5381" max="5381" width="33.33203125" style="61" bestFit="1" customWidth="1"/>
    <col min="5382" max="5382" width="24.83203125" style="61" bestFit="1" customWidth="1"/>
    <col min="5383" max="5383" width="9.6640625" style="61" customWidth="1"/>
    <col min="5384" max="5384" width="15" style="61" customWidth="1"/>
    <col min="5385" max="5385" width="13.33203125" style="61" customWidth="1"/>
    <col min="5386" max="5386" width="18" style="61" customWidth="1"/>
    <col min="5387" max="5388" width="15.6640625" style="61" customWidth="1"/>
    <col min="5389" max="5389" width="17.6640625" style="61" bestFit="1" customWidth="1"/>
    <col min="5390" max="5390" width="14.6640625" style="61" customWidth="1"/>
    <col min="5391" max="5391" width="14" style="61" bestFit="1" customWidth="1"/>
    <col min="5392" max="5632" width="9.33203125" style="61"/>
    <col min="5633" max="5633" width="25.1640625" style="61" customWidth="1"/>
    <col min="5634" max="5634" width="55.6640625" style="61" bestFit="1" customWidth="1"/>
    <col min="5635" max="5635" width="13.83203125" style="61" bestFit="1" customWidth="1"/>
    <col min="5636" max="5636" width="54.83203125" style="61" bestFit="1" customWidth="1"/>
    <col min="5637" max="5637" width="33.33203125" style="61" bestFit="1" customWidth="1"/>
    <col min="5638" max="5638" width="24.83203125" style="61" bestFit="1" customWidth="1"/>
    <col min="5639" max="5639" width="9.6640625" style="61" customWidth="1"/>
    <col min="5640" max="5640" width="15" style="61" customWidth="1"/>
    <col min="5641" max="5641" width="13.33203125" style="61" customWidth="1"/>
    <col min="5642" max="5642" width="18" style="61" customWidth="1"/>
    <col min="5643" max="5644" width="15.6640625" style="61" customWidth="1"/>
    <col min="5645" max="5645" width="17.6640625" style="61" bestFit="1" customWidth="1"/>
    <col min="5646" max="5646" width="14.6640625" style="61" customWidth="1"/>
    <col min="5647" max="5647" width="14" style="61" bestFit="1" customWidth="1"/>
    <col min="5648" max="5888" width="9.33203125" style="61"/>
    <col min="5889" max="5889" width="25.1640625" style="61" customWidth="1"/>
    <col min="5890" max="5890" width="55.6640625" style="61" bestFit="1" customWidth="1"/>
    <col min="5891" max="5891" width="13.83203125" style="61" bestFit="1" customWidth="1"/>
    <col min="5892" max="5892" width="54.83203125" style="61" bestFit="1" customWidth="1"/>
    <col min="5893" max="5893" width="33.33203125" style="61" bestFit="1" customWidth="1"/>
    <col min="5894" max="5894" width="24.83203125" style="61" bestFit="1" customWidth="1"/>
    <col min="5895" max="5895" width="9.6640625" style="61" customWidth="1"/>
    <col min="5896" max="5896" width="15" style="61" customWidth="1"/>
    <col min="5897" max="5897" width="13.33203125" style="61" customWidth="1"/>
    <col min="5898" max="5898" width="18" style="61" customWidth="1"/>
    <col min="5899" max="5900" width="15.6640625" style="61" customWidth="1"/>
    <col min="5901" max="5901" width="17.6640625" style="61" bestFit="1" customWidth="1"/>
    <col min="5902" max="5902" width="14.6640625" style="61" customWidth="1"/>
    <col min="5903" max="5903" width="14" style="61" bestFit="1" customWidth="1"/>
    <col min="5904" max="6144" width="9.33203125" style="61"/>
    <col min="6145" max="6145" width="25.1640625" style="61" customWidth="1"/>
    <col min="6146" max="6146" width="55.6640625" style="61" bestFit="1" customWidth="1"/>
    <col min="6147" max="6147" width="13.83203125" style="61" bestFit="1" customWidth="1"/>
    <col min="6148" max="6148" width="54.83203125" style="61" bestFit="1" customWidth="1"/>
    <col min="6149" max="6149" width="33.33203125" style="61" bestFit="1" customWidth="1"/>
    <col min="6150" max="6150" width="24.83203125" style="61" bestFit="1" customWidth="1"/>
    <col min="6151" max="6151" width="9.6640625" style="61" customWidth="1"/>
    <col min="6152" max="6152" width="15" style="61" customWidth="1"/>
    <col min="6153" max="6153" width="13.33203125" style="61" customWidth="1"/>
    <col min="6154" max="6154" width="18" style="61" customWidth="1"/>
    <col min="6155" max="6156" width="15.6640625" style="61" customWidth="1"/>
    <col min="6157" max="6157" width="17.6640625" style="61" bestFit="1" customWidth="1"/>
    <col min="6158" max="6158" width="14.6640625" style="61" customWidth="1"/>
    <col min="6159" max="6159" width="14" style="61" bestFit="1" customWidth="1"/>
    <col min="6160" max="6400" width="9.33203125" style="61"/>
    <col min="6401" max="6401" width="25.1640625" style="61" customWidth="1"/>
    <col min="6402" max="6402" width="55.6640625" style="61" bestFit="1" customWidth="1"/>
    <col min="6403" max="6403" width="13.83203125" style="61" bestFit="1" customWidth="1"/>
    <col min="6404" max="6404" width="54.83203125" style="61" bestFit="1" customWidth="1"/>
    <col min="6405" max="6405" width="33.33203125" style="61" bestFit="1" customWidth="1"/>
    <col min="6406" max="6406" width="24.83203125" style="61" bestFit="1" customWidth="1"/>
    <col min="6407" max="6407" width="9.6640625" style="61" customWidth="1"/>
    <col min="6408" max="6408" width="15" style="61" customWidth="1"/>
    <col min="6409" max="6409" width="13.33203125" style="61" customWidth="1"/>
    <col min="6410" max="6410" width="18" style="61" customWidth="1"/>
    <col min="6411" max="6412" width="15.6640625" style="61" customWidth="1"/>
    <col min="6413" max="6413" width="17.6640625" style="61" bestFit="1" customWidth="1"/>
    <col min="6414" max="6414" width="14.6640625" style="61" customWidth="1"/>
    <col min="6415" max="6415" width="14" style="61" bestFit="1" customWidth="1"/>
    <col min="6416" max="6656" width="9.33203125" style="61"/>
    <col min="6657" max="6657" width="25.1640625" style="61" customWidth="1"/>
    <col min="6658" max="6658" width="55.6640625" style="61" bestFit="1" customWidth="1"/>
    <col min="6659" max="6659" width="13.83203125" style="61" bestFit="1" customWidth="1"/>
    <col min="6660" max="6660" width="54.83203125" style="61" bestFit="1" customWidth="1"/>
    <col min="6661" max="6661" width="33.33203125" style="61" bestFit="1" customWidth="1"/>
    <col min="6662" max="6662" width="24.83203125" style="61" bestFit="1" customWidth="1"/>
    <col min="6663" max="6663" width="9.6640625" style="61" customWidth="1"/>
    <col min="6664" max="6664" width="15" style="61" customWidth="1"/>
    <col min="6665" max="6665" width="13.33203125" style="61" customWidth="1"/>
    <col min="6666" max="6666" width="18" style="61" customWidth="1"/>
    <col min="6667" max="6668" width="15.6640625" style="61" customWidth="1"/>
    <col min="6669" max="6669" width="17.6640625" style="61" bestFit="1" customWidth="1"/>
    <col min="6670" max="6670" width="14.6640625" style="61" customWidth="1"/>
    <col min="6671" max="6671" width="14" style="61" bestFit="1" customWidth="1"/>
    <col min="6672" max="6912" width="9.33203125" style="61"/>
    <col min="6913" max="6913" width="25.1640625" style="61" customWidth="1"/>
    <col min="6914" max="6914" width="55.6640625" style="61" bestFit="1" customWidth="1"/>
    <col min="6915" max="6915" width="13.83203125" style="61" bestFit="1" customWidth="1"/>
    <col min="6916" max="6916" width="54.83203125" style="61" bestFit="1" customWidth="1"/>
    <col min="6917" max="6917" width="33.33203125" style="61" bestFit="1" customWidth="1"/>
    <col min="6918" max="6918" width="24.83203125" style="61" bestFit="1" customWidth="1"/>
    <col min="6919" max="6919" width="9.6640625" style="61" customWidth="1"/>
    <col min="6920" max="6920" width="15" style="61" customWidth="1"/>
    <col min="6921" max="6921" width="13.33203125" style="61" customWidth="1"/>
    <col min="6922" max="6922" width="18" style="61" customWidth="1"/>
    <col min="6923" max="6924" width="15.6640625" style="61" customWidth="1"/>
    <col min="6925" max="6925" width="17.6640625" style="61" bestFit="1" customWidth="1"/>
    <col min="6926" max="6926" width="14.6640625" style="61" customWidth="1"/>
    <col min="6927" max="6927" width="14" style="61" bestFit="1" customWidth="1"/>
    <col min="6928" max="7168" width="9.33203125" style="61"/>
    <col min="7169" max="7169" width="25.1640625" style="61" customWidth="1"/>
    <col min="7170" max="7170" width="55.6640625" style="61" bestFit="1" customWidth="1"/>
    <col min="7171" max="7171" width="13.83203125" style="61" bestFit="1" customWidth="1"/>
    <col min="7172" max="7172" width="54.83203125" style="61" bestFit="1" customWidth="1"/>
    <col min="7173" max="7173" width="33.33203125" style="61" bestFit="1" customWidth="1"/>
    <col min="7174" max="7174" width="24.83203125" style="61" bestFit="1" customWidth="1"/>
    <col min="7175" max="7175" width="9.6640625" style="61" customWidth="1"/>
    <col min="7176" max="7176" width="15" style="61" customWidth="1"/>
    <col min="7177" max="7177" width="13.33203125" style="61" customWidth="1"/>
    <col min="7178" max="7178" width="18" style="61" customWidth="1"/>
    <col min="7179" max="7180" width="15.6640625" style="61" customWidth="1"/>
    <col min="7181" max="7181" width="17.6640625" style="61" bestFit="1" customWidth="1"/>
    <col min="7182" max="7182" width="14.6640625" style="61" customWidth="1"/>
    <col min="7183" max="7183" width="14" style="61" bestFit="1" customWidth="1"/>
    <col min="7184" max="7424" width="9.33203125" style="61"/>
    <col min="7425" max="7425" width="25.1640625" style="61" customWidth="1"/>
    <col min="7426" max="7426" width="55.6640625" style="61" bestFit="1" customWidth="1"/>
    <col min="7427" max="7427" width="13.83203125" style="61" bestFit="1" customWidth="1"/>
    <col min="7428" max="7428" width="54.83203125" style="61" bestFit="1" customWidth="1"/>
    <col min="7429" max="7429" width="33.33203125" style="61" bestFit="1" customWidth="1"/>
    <col min="7430" max="7430" width="24.83203125" style="61" bestFit="1" customWidth="1"/>
    <col min="7431" max="7431" width="9.6640625" style="61" customWidth="1"/>
    <col min="7432" max="7432" width="15" style="61" customWidth="1"/>
    <col min="7433" max="7433" width="13.33203125" style="61" customWidth="1"/>
    <col min="7434" max="7434" width="18" style="61" customWidth="1"/>
    <col min="7435" max="7436" width="15.6640625" style="61" customWidth="1"/>
    <col min="7437" max="7437" width="17.6640625" style="61" bestFit="1" customWidth="1"/>
    <col min="7438" max="7438" width="14.6640625" style="61" customWidth="1"/>
    <col min="7439" max="7439" width="14" style="61" bestFit="1" customWidth="1"/>
    <col min="7440" max="7680" width="9.33203125" style="61"/>
    <col min="7681" max="7681" width="25.1640625" style="61" customWidth="1"/>
    <col min="7682" max="7682" width="55.6640625" style="61" bestFit="1" customWidth="1"/>
    <col min="7683" max="7683" width="13.83203125" style="61" bestFit="1" customWidth="1"/>
    <col min="7684" max="7684" width="54.83203125" style="61" bestFit="1" customWidth="1"/>
    <col min="7685" max="7685" width="33.33203125" style="61" bestFit="1" customWidth="1"/>
    <col min="7686" max="7686" width="24.83203125" style="61" bestFit="1" customWidth="1"/>
    <col min="7687" max="7687" width="9.6640625" style="61" customWidth="1"/>
    <col min="7688" max="7688" width="15" style="61" customWidth="1"/>
    <col min="7689" max="7689" width="13.33203125" style="61" customWidth="1"/>
    <col min="7690" max="7690" width="18" style="61" customWidth="1"/>
    <col min="7691" max="7692" width="15.6640625" style="61" customWidth="1"/>
    <col min="7693" max="7693" width="17.6640625" style="61" bestFit="1" customWidth="1"/>
    <col min="7694" max="7694" width="14.6640625" style="61" customWidth="1"/>
    <col min="7695" max="7695" width="14" style="61" bestFit="1" customWidth="1"/>
    <col min="7696" max="7936" width="9.33203125" style="61"/>
    <col min="7937" max="7937" width="25.1640625" style="61" customWidth="1"/>
    <col min="7938" max="7938" width="55.6640625" style="61" bestFit="1" customWidth="1"/>
    <col min="7939" max="7939" width="13.83203125" style="61" bestFit="1" customWidth="1"/>
    <col min="7940" max="7940" width="54.83203125" style="61" bestFit="1" customWidth="1"/>
    <col min="7941" max="7941" width="33.33203125" style="61" bestFit="1" customWidth="1"/>
    <col min="7942" max="7942" width="24.83203125" style="61" bestFit="1" customWidth="1"/>
    <col min="7943" max="7943" width="9.6640625" style="61" customWidth="1"/>
    <col min="7944" max="7944" width="15" style="61" customWidth="1"/>
    <col min="7945" max="7945" width="13.33203125" style="61" customWidth="1"/>
    <col min="7946" max="7946" width="18" style="61" customWidth="1"/>
    <col min="7947" max="7948" width="15.6640625" style="61" customWidth="1"/>
    <col min="7949" max="7949" width="17.6640625" style="61" bestFit="1" customWidth="1"/>
    <col min="7950" max="7950" width="14.6640625" style="61" customWidth="1"/>
    <col min="7951" max="7951" width="14" style="61" bestFit="1" customWidth="1"/>
    <col min="7952" max="8192" width="9.33203125" style="61"/>
    <col min="8193" max="8193" width="25.1640625" style="61" customWidth="1"/>
    <col min="8194" max="8194" width="55.6640625" style="61" bestFit="1" customWidth="1"/>
    <col min="8195" max="8195" width="13.83203125" style="61" bestFit="1" customWidth="1"/>
    <col min="8196" max="8196" width="54.83203125" style="61" bestFit="1" customWidth="1"/>
    <col min="8197" max="8197" width="33.33203125" style="61" bestFit="1" customWidth="1"/>
    <col min="8198" max="8198" width="24.83203125" style="61" bestFit="1" customWidth="1"/>
    <col min="8199" max="8199" width="9.6640625" style="61" customWidth="1"/>
    <col min="8200" max="8200" width="15" style="61" customWidth="1"/>
    <col min="8201" max="8201" width="13.33203125" style="61" customWidth="1"/>
    <col min="8202" max="8202" width="18" style="61" customWidth="1"/>
    <col min="8203" max="8204" width="15.6640625" style="61" customWidth="1"/>
    <col min="8205" max="8205" width="17.6640625" style="61" bestFit="1" customWidth="1"/>
    <col min="8206" max="8206" width="14.6640625" style="61" customWidth="1"/>
    <col min="8207" max="8207" width="14" style="61" bestFit="1" customWidth="1"/>
    <col min="8208" max="8448" width="9.33203125" style="61"/>
    <col min="8449" max="8449" width="25.1640625" style="61" customWidth="1"/>
    <col min="8450" max="8450" width="55.6640625" style="61" bestFit="1" customWidth="1"/>
    <col min="8451" max="8451" width="13.83203125" style="61" bestFit="1" customWidth="1"/>
    <col min="8452" max="8452" width="54.83203125" style="61" bestFit="1" customWidth="1"/>
    <col min="8453" max="8453" width="33.33203125" style="61" bestFit="1" customWidth="1"/>
    <col min="8454" max="8454" width="24.83203125" style="61" bestFit="1" customWidth="1"/>
    <col min="8455" max="8455" width="9.6640625" style="61" customWidth="1"/>
    <col min="8456" max="8456" width="15" style="61" customWidth="1"/>
    <col min="8457" max="8457" width="13.33203125" style="61" customWidth="1"/>
    <col min="8458" max="8458" width="18" style="61" customWidth="1"/>
    <col min="8459" max="8460" width="15.6640625" style="61" customWidth="1"/>
    <col min="8461" max="8461" width="17.6640625" style="61" bestFit="1" customWidth="1"/>
    <col min="8462" max="8462" width="14.6640625" style="61" customWidth="1"/>
    <col min="8463" max="8463" width="14" style="61" bestFit="1" customWidth="1"/>
    <col min="8464" max="8704" width="9.33203125" style="61"/>
    <col min="8705" max="8705" width="25.1640625" style="61" customWidth="1"/>
    <col min="8706" max="8706" width="55.6640625" style="61" bestFit="1" customWidth="1"/>
    <col min="8707" max="8707" width="13.83203125" style="61" bestFit="1" customWidth="1"/>
    <col min="8708" max="8708" width="54.83203125" style="61" bestFit="1" customWidth="1"/>
    <col min="8709" max="8709" width="33.33203125" style="61" bestFit="1" customWidth="1"/>
    <col min="8710" max="8710" width="24.83203125" style="61" bestFit="1" customWidth="1"/>
    <col min="8711" max="8711" width="9.6640625" style="61" customWidth="1"/>
    <col min="8712" max="8712" width="15" style="61" customWidth="1"/>
    <col min="8713" max="8713" width="13.33203125" style="61" customWidth="1"/>
    <col min="8714" max="8714" width="18" style="61" customWidth="1"/>
    <col min="8715" max="8716" width="15.6640625" style="61" customWidth="1"/>
    <col min="8717" max="8717" width="17.6640625" style="61" bestFit="1" customWidth="1"/>
    <col min="8718" max="8718" width="14.6640625" style="61" customWidth="1"/>
    <col min="8719" max="8719" width="14" style="61" bestFit="1" customWidth="1"/>
    <col min="8720" max="8960" width="9.33203125" style="61"/>
    <col min="8961" max="8961" width="25.1640625" style="61" customWidth="1"/>
    <col min="8962" max="8962" width="55.6640625" style="61" bestFit="1" customWidth="1"/>
    <col min="8963" max="8963" width="13.83203125" style="61" bestFit="1" customWidth="1"/>
    <col min="8964" max="8964" width="54.83203125" style="61" bestFit="1" customWidth="1"/>
    <col min="8965" max="8965" width="33.33203125" style="61" bestFit="1" customWidth="1"/>
    <col min="8966" max="8966" width="24.83203125" style="61" bestFit="1" customWidth="1"/>
    <col min="8967" max="8967" width="9.6640625" style="61" customWidth="1"/>
    <col min="8968" max="8968" width="15" style="61" customWidth="1"/>
    <col min="8969" max="8969" width="13.33203125" style="61" customWidth="1"/>
    <col min="8970" max="8970" width="18" style="61" customWidth="1"/>
    <col min="8971" max="8972" width="15.6640625" style="61" customWidth="1"/>
    <col min="8973" max="8973" width="17.6640625" style="61" bestFit="1" customWidth="1"/>
    <col min="8974" max="8974" width="14.6640625" style="61" customWidth="1"/>
    <col min="8975" max="8975" width="14" style="61" bestFit="1" customWidth="1"/>
    <col min="8976" max="9216" width="9.33203125" style="61"/>
    <col min="9217" max="9217" width="25.1640625" style="61" customWidth="1"/>
    <col min="9218" max="9218" width="55.6640625" style="61" bestFit="1" customWidth="1"/>
    <col min="9219" max="9219" width="13.83203125" style="61" bestFit="1" customWidth="1"/>
    <col min="9220" max="9220" width="54.83203125" style="61" bestFit="1" customWidth="1"/>
    <col min="9221" max="9221" width="33.33203125" style="61" bestFit="1" customWidth="1"/>
    <col min="9222" max="9222" width="24.83203125" style="61" bestFit="1" customWidth="1"/>
    <col min="9223" max="9223" width="9.6640625" style="61" customWidth="1"/>
    <col min="9224" max="9224" width="15" style="61" customWidth="1"/>
    <col min="9225" max="9225" width="13.33203125" style="61" customWidth="1"/>
    <col min="9226" max="9226" width="18" style="61" customWidth="1"/>
    <col min="9227" max="9228" width="15.6640625" style="61" customWidth="1"/>
    <col min="9229" max="9229" width="17.6640625" style="61" bestFit="1" customWidth="1"/>
    <col min="9230" max="9230" width="14.6640625" style="61" customWidth="1"/>
    <col min="9231" max="9231" width="14" style="61" bestFit="1" customWidth="1"/>
    <col min="9232" max="9472" width="9.33203125" style="61"/>
    <col min="9473" max="9473" width="25.1640625" style="61" customWidth="1"/>
    <col min="9474" max="9474" width="55.6640625" style="61" bestFit="1" customWidth="1"/>
    <col min="9475" max="9475" width="13.83203125" style="61" bestFit="1" customWidth="1"/>
    <col min="9476" max="9476" width="54.83203125" style="61" bestFit="1" customWidth="1"/>
    <col min="9477" max="9477" width="33.33203125" style="61" bestFit="1" customWidth="1"/>
    <col min="9478" max="9478" width="24.83203125" style="61" bestFit="1" customWidth="1"/>
    <col min="9479" max="9479" width="9.6640625" style="61" customWidth="1"/>
    <col min="9480" max="9480" width="15" style="61" customWidth="1"/>
    <col min="9481" max="9481" width="13.33203125" style="61" customWidth="1"/>
    <col min="9482" max="9482" width="18" style="61" customWidth="1"/>
    <col min="9483" max="9484" width="15.6640625" style="61" customWidth="1"/>
    <col min="9485" max="9485" width="17.6640625" style="61" bestFit="1" customWidth="1"/>
    <col min="9486" max="9486" width="14.6640625" style="61" customWidth="1"/>
    <col min="9487" max="9487" width="14" style="61" bestFit="1" customWidth="1"/>
    <col min="9488" max="9728" width="9.33203125" style="61"/>
    <col min="9729" max="9729" width="25.1640625" style="61" customWidth="1"/>
    <col min="9730" max="9730" width="55.6640625" style="61" bestFit="1" customWidth="1"/>
    <col min="9731" max="9731" width="13.83203125" style="61" bestFit="1" customWidth="1"/>
    <col min="9732" max="9732" width="54.83203125" style="61" bestFit="1" customWidth="1"/>
    <col min="9733" max="9733" width="33.33203125" style="61" bestFit="1" customWidth="1"/>
    <col min="9734" max="9734" width="24.83203125" style="61" bestFit="1" customWidth="1"/>
    <col min="9735" max="9735" width="9.6640625" style="61" customWidth="1"/>
    <col min="9736" max="9736" width="15" style="61" customWidth="1"/>
    <col min="9737" max="9737" width="13.33203125" style="61" customWidth="1"/>
    <col min="9738" max="9738" width="18" style="61" customWidth="1"/>
    <col min="9739" max="9740" width="15.6640625" style="61" customWidth="1"/>
    <col min="9741" max="9741" width="17.6640625" style="61" bestFit="1" customWidth="1"/>
    <col min="9742" max="9742" width="14.6640625" style="61" customWidth="1"/>
    <col min="9743" max="9743" width="14" style="61" bestFit="1" customWidth="1"/>
    <col min="9744" max="9984" width="9.33203125" style="61"/>
    <col min="9985" max="9985" width="25.1640625" style="61" customWidth="1"/>
    <col min="9986" max="9986" width="55.6640625" style="61" bestFit="1" customWidth="1"/>
    <col min="9987" max="9987" width="13.83203125" style="61" bestFit="1" customWidth="1"/>
    <col min="9988" max="9988" width="54.83203125" style="61" bestFit="1" customWidth="1"/>
    <col min="9989" max="9989" width="33.33203125" style="61" bestFit="1" customWidth="1"/>
    <col min="9990" max="9990" width="24.83203125" style="61" bestFit="1" customWidth="1"/>
    <col min="9991" max="9991" width="9.6640625" style="61" customWidth="1"/>
    <col min="9992" max="9992" width="15" style="61" customWidth="1"/>
    <col min="9993" max="9993" width="13.33203125" style="61" customWidth="1"/>
    <col min="9994" max="9994" width="18" style="61" customWidth="1"/>
    <col min="9995" max="9996" width="15.6640625" style="61" customWidth="1"/>
    <col min="9997" max="9997" width="17.6640625" style="61" bestFit="1" customWidth="1"/>
    <col min="9998" max="9998" width="14.6640625" style="61" customWidth="1"/>
    <col min="9999" max="9999" width="14" style="61" bestFit="1" customWidth="1"/>
    <col min="10000" max="10240" width="9.33203125" style="61"/>
    <col min="10241" max="10241" width="25.1640625" style="61" customWidth="1"/>
    <col min="10242" max="10242" width="55.6640625" style="61" bestFit="1" customWidth="1"/>
    <col min="10243" max="10243" width="13.83203125" style="61" bestFit="1" customWidth="1"/>
    <col min="10244" max="10244" width="54.83203125" style="61" bestFit="1" customWidth="1"/>
    <col min="10245" max="10245" width="33.33203125" style="61" bestFit="1" customWidth="1"/>
    <col min="10246" max="10246" width="24.83203125" style="61" bestFit="1" customWidth="1"/>
    <col min="10247" max="10247" width="9.6640625" style="61" customWidth="1"/>
    <col min="10248" max="10248" width="15" style="61" customWidth="1"/>
    <col min="10249" max="10249" width="13.33203125" style="61" customWidth="1"/>
    <col min="10250" max="10250" width="18" style="61" customWidth="1"/>
    <col min="10251" max="10252" width="15.6640625" style="61" customWidth="1"/>
    <col min="10253" max="10253" width="17.6640625" style="61" bestFit="1" customWidth="1"/>
    <col min="10254" max="10254" width="14.6640625" style="61" customWidth="1"/>
    <col min="10255" max="10255" width="14" style="61" bestFit="1" customWidth="1"/>
    <col min="10256" max="10496" width="9.33203125" style="61"/>
    <col min="10497" max="10497" width="25.1640625" style="61" customWidth="1"/>
    <col min="10498" max="10498" width="55.6640625" style="61" bestFit="1" customWidth="1"/>
    <col min="10499" max="10499" width="13.83203125" style="61" bestFit="1" customWidth="1"/>
    <col min="10500" max="10500" width="54.83203125" style="61" bestFit="1" customWidth="1"/>
    <col min="10501" max="10501" width="33.33203125" style="61" bestFit="1" customWidth="1"/>
    <col min="10502" max="10502" width="24.83203125" style="61" bestFit="1" customWidth="1"/>
    <col min="10503" max="10503" width="9.6640625" style="61" customWidth="1"/>
    <col min="10504" max="10504" width="15" style="61" customWidth="1"/>
    <col min="10505" max="10505" width="13.33203125" style="61" customWidth="1"/>
    <col min="10506" max="10506" width="18" style="61" customWidth="1"/>
    <col min="10507" max="10508" width="15.6640625" style="61" customWidth="1"/>
    <col min="10509" max="10509" width="17.6640625" style="61" bestFit="1" customWidth="1"/>
    <col min="10510" max="10510" width="14.6640625" style="61" customWidth="1"/>
    <col min="10511" max="10511" width="14" style="61" bestFit="1" customWidth="1"/>
    <col min="10512" max="10752" width="9.33203125" style="61"/>
    <col min="10753" max="10753" width="25.1640625" style="61" customWidth="1"/>
    <col min="10754" max="10754" width="55.6640625" style="61" bestFit="1" customWidth="1"/>
    <col min="10755" max="10755" width="13.83203125" style="61" bestFit="1" customWidth="1"/>
    <col min="10756" max="10756" width="54.83203125" style="61" bestFit="1" customWidth="1"/>
    <col min="10757" max="10757" width="33.33203125" style="61" bestFit="1" customWidth="1"/>
    <col min="10758" max="10758" width="24.83203125" style="61" bestFit="1" customWidth="1"/>
    <col min="10759" max="10759" width="9.6640625" style="61" customWidth="1"/>
    <col min="10760" max="10760" width="15" style="61" customWidth="1"/>
    <col min="10761" max="10761" width="13.33203125" style="61" customWidth="1"/>
    <col min="10762" max="10762" width="18" style="61" customWidth="1"/>
    <col min="10763" max="10764" width="15.6640625" style="61" customWidth="1"/>
    <col min="10765" max="10765" width="17.6640625" style="61" bestFit="1" customWidth="1"/>
    <col min="10766" max="10766" width="14.6640625" style="61" customWidth="1"/>
    <col min="10767" max="10767" width="14" style="61" bestFit="1" customWidth="1"/>
    <col min="10768" max="11008" width="9.33203125" style="61"/>
    <col min="11009" max="11009" width="25.1640625" style="61" customWidth="1"/>
    <col min="11010" max="11010" width="55.6640625" style="61" bestFit="1" customWidth="1"/>
    <col min="11011" max="11011" width="13.83203125" style="61" bestFit="1" customWidth="1"/>
    <col min="11012" max="11012" width="54.83203125" style="61" bestFit="1" customWidth="1"/>
    <col min="11013" max="11013" width="33.33203125" style="61" bestFit="1" customWidth="1"/>
    <col min="11014" max="11014" width="24.83203125" style="61" bestFit="1" customWidth="1"/>
    <col min="11015" max="11015" width="9.6640625" style="61" customWidth="1"/>
    <col min="11016" max="11016" width="15" style="61" customWidth="1"/>
    <col min="11017" max="11017" width="13.33203125" style="61" customWidth="1"/>
    <col min="11018" max="11018" width="18" style="61" customWidth="1"/>
    <col min="11019" max="11020" width="15.6640625" style="61" customWidth="1"/>
    <col min="11021" max="11021" width="17.6640625" style="61" bestFit="1" customWidth="1"/>
    <col min="11022" max="11022" width="14.6640625" style="61" customWidth="1"/>
    <col min="11023" max="11023" width="14" style="61" bestFit="1" customWidth="1"/>
    <col min="11024" max="11264" width="9.33203125" style="61"/>
    <col min="11265" max="11265" width="25.1640625" style="61" customWidth="1"/>
    <col min="11266" max="11266" width="55.6640625" style="61" bestFit="1" customWidth="1"/>
    <col min="11267" max="11267" width="13.83203125" style="61" bestFit="1" customWidth="1"/>
    <col min="11268" max="11268" width="54.83203125" style="61" bestFit="1" customWidth="1"/>
    <col min="11269" max="11269" width="33.33203125" style="61" bestFit="1" customWidth="1"/>
    <col min="11270" max="11270" width="24.83203125" style="61" bestFit="1" customWidth="1"/>
    <col min="11271" max="11271" width="9.6640625" style="61" customWidth="1"/>
    <col min="11272" max="11272" width="15" style="61" customWidth="1"/>
    <col min="11273" max="11273" width="13.33203125" style="61" customWidth="1"/>
    <col min="11274" max="11274" width="18" style="61" customWidth="1"/>
    <col min="11275" max="11276" width="15.6640625" style="61" customWidth="1"/>
    <col min="11277" max="11277" width="17.6640625" style="61" bestFit="1" customWidth="1"/>
    <col min="11278" max="11278" width="14.6640625" style="61" customWidth="1"/>
    <col min="11279" max="11279" width="14" style="61" bestFit="1" customWidth="1"/>
    <col min="11280" max="11520" width="9.33203125" style="61"/>
    <col min="11521" max="11521" width="25.1640625" style="61" customWidth="1"/>
    <col min="11522" max="11522" width="55.6640625" style="61" bestFit="1" customWidth="1"/>
    <col min="11523" max="11523" width="13.83203125" style="61" bestFit="1" customWidth="1"/>
    <col min="11524" max="11524" width="54.83203125" style="61" bestFit="1" customWidth="1"/>
    <col min="11525" max="11525" width="33.33203125" style="61" bestFit="1" customWidth="1"/>
    <col min="11526" max="11526" width="24.83203125" style="61" bestFit="1" customWidth="1"/>
    <col min="11527" max="11527" width="9.6640625" style="61" customWidth="1"/>
    <col min="11528" max="11528" width="15" style="61" customWidth="1"/>
    <col min="11529" max="11529" width="13.33203125" style="61" customWidth="1"/>
    <col min="11530" max="11530" width="18" style="61" customWidth="1"/>
    <col min="11531" max="11532" width="15.6640625" style="61" customWidth="1"/>
    <col min="11533" max="11533" width="17.6640625" style="61" bestFit="1" customWidth="1"/>
    <col min="11534" max="11534" width="14.6640625" style="61" customWidth="1"/>
    <col min="11535" max="11535" width="14" style="61" bestFit="1" customWidth="1"/>
    <col min="11536" max="11776" width="9.33203125" style="61"/>
    <col min="11777" max="11777" width="25.1640625" style="61" customWidth="1"/>
    <col min="11778" max="11778" width="55.6640625" style="61" bestFit="1" customWidth="1"/>
    <col min="11779" max="11779" width="13.83203125" style="61" bestFit="1" customWidth="1"/>
    <col min="11780" max="11780" width="54.83203125" style="61" bestFit="1" customWidth="1"/>
    <col min="11781" max="11781" width="33.33203125" style="61" bestFit="1" customWidth="1"/>
    <col min="11782" max="11782" width="24.83203125" style="61" bestFit="1" customWidth="1"/>
    <col min="11783" max="11783" width="9.6640625" style="61" customWidth="1"/>
    <col min="11784" max="11784" width="15" style="61" customWidth="1"/>
    <col min="11785" max="11785" width="13.33203125" style="61" customWidth="1"/>
    <col min="11786" max="11786" width="18" style="61" customWidth="1"/>
    <col min="11787" max="11788" width="15.6640625" style="61" customWidth="1"/>
    <col min="11789" max="11789" width="17.6640625" style="61" bestFit="1" customWidth="1"/>
    <col min="11790" max="11790" width="14.6640625" style="61" customWidth="1"/>
    <col min="11791" max="11791" width="14" style="61" bestFit="1" customWidth="1"/>
    <col min="11792" max="12032" width="9.33203125" style="61"/>
    <col min="12033" max="12033" width="25.1640625" style="61" customWidth="1"/>
    <col min="12034" max="12034" width="55.6640625" style="61" bestFit="1" customWidth="1"/>
    <col min="12035" max="12035" width="13.83203125" style="61" bestFit="1" customWidth="1"/>
    <col min="12036" max="12036" width="54.83203125" style="61" bestFit="1" customWidth="1"/>
    <col min="12037" max="12037" width="33.33203125" style="61" bestFit="1" customWidth="1"/>
    <col min="12038" max="12038" width="24.83203125" style="61" bestFit="1" customWidth="1"/>
    <col min="12039" max="12039" width="9.6640625" style="61" customWidth="1"/>
    <col min="12040" max="12040" width="15" style="61" customWidth="1"/>
    <col min="12041" max="12041" width="13.33203125" style="61" customWidth="1"/>
    <col min="12042" max="12042" width="18" style="61" customWidth="1"/>
    <col min="12043" max="12044" width="15.6640625" style="61" customWidth="1"/>
    <col min="12045" max="12045" width="17.6640625" style="61" bestFit="1" customWidth="1"/>
    <col min="12046" max="12046" width="14.6640625" style="61" customWidth="1"/>
    <col min="12047" max="12047" width="14" style="61" bestFit="1" customWidth="1"/>
    <col min="12048" max="12288" width="9.33203125" style="61"/>
    <col min="12289" max="12289" width="25.1640625" style="61" customWidth="1"/>
    <col min="12290" max="12290" width="55.6640625" style="61" bestFit="1" customWidth="1"/>
    <col min="12291" max="12291" width="13.83203125" style="61" bestFit="1" customWidth="1"/>
    <col min="12292" max="12292" width="54.83203125" style="61" bestFit="1" customWidth="1"/>
    <col min="12293" max="12293" width="33.33203125" style="61" bestFit="1" customWidth="1"/>
    <col min="12294" max="12294" width="24.83203125" style="61" bestFit="1" customWidth="1"/>
    <col min="12295" max="12295" width="9.6640625" style="61" customWidth="1"/>
    <col min="12296" max="12296" width="15" style="61" customWidth="1"/>
    <col min="12297" max="12297" width="13.33203125" style="61" customWidth="1"/>
    <col min="12298" max="12298" width="18" style="61" customWidth="1"/>
    <col min="12299" max="12300" width="15.6640625" style="61" customWidth="1"/>
    <col min="12301" max="12301" width="17.6640625" style="61" bestFit="1" customWidth="1"/>
    <col min="12302" max="12302" width="14.6640625" style="61" customWidth="1"/>
    <col min="12303" max="12303" width="14" style="61" bestFit="1" customWidth="1"/>
    <col min="12304" max="12544" width="9.33203125" style="61"/>
    <col min="12545" max="12545" width="25.1640625" style="61" customWidth="1"/>
    <col min="12546" max="12546" width="55.6640625" style="61" bestFit="1" customWidth="1"/>
    <col min="12547" max="12547" width="13.83203125" style="61" bestFit="1" customWidth="1"/>
    <col min="12548" max="12548" width="54.83203125" style="61" bestFit="1" customWidth="1"/>
    <col min="12549" max="12549" width="33.33203125" style="61" bestFit="1" customWidth="1"/>
    <col min="12550" max="12550" width="24.83203125" style="61" bestFit="1" customWidth="1"/>
    <col min="12551" max="12551" width="9.6640625" style="61" customWidth="1"/>
    <col min="12552" max="12552" width="15" style="61" customWidth="1"/>
    <col min="12553" max="12553" width="13.33203125" style="61" customWidth="1"/>
    <col min="12554" max="12554" width="18" style="61" customWidth="1"/>
    <col min="12555" max="12556" width="15.6640625" style="61" customWidth="1"/>
    <col min="12557" max="12557" width="17.6640625" style="61" bestFit="1" customWidth="1"/>
    <col min="12558" max="12558" width="14.6640625" style="61" customWidth="1"/>
    <col min="12559" max="12559" width="14" style="61" bestFit="1" customWidth="1"/>
    <col min="12560" max="12800" width="9.33203125" style="61"/>
    <col min="12801" max="12801" width="25.1640625" style="61" customWidth="1"/>
    <col min="12802" max="12802" width="55.6640625" style="61" bestFit="1" customWidth="1"/>
    <col min="12803" max="12803" width="13.83203125" style="61" bestFit="1" customWidth="1"/>
    <col min="12804" max="12804" width="54.83203125" style="61" bestFit="1" customWidth="1"/>
    <col min="12805" max="12805" width="33.33203125" style="61" bestFit="1" customWidth="1"/>
    <col min="12806" max="12806" width="24.83203125" style="61" bestFit="1" customWidth="1"/>
    <col min="12807" max="12807" width="9.6640625" style="61" customWidth="1"/>
    <col min="12808" max="12808" width="15" style="61" customWidth="1"/>
    <col min="12809" max="12809" width="13.33203125" style="61" customWidth="1"/>
    <col min="12810" max="12810" width="18" style="61" customWidth="1"/>
    <col min="12811" max="12812" width="15.6640625" style="61" customWidth="1"/>
    <col min="12813" max="12813" width="17.6640625" style="61" bestFit="1" customWidth="1"/>
    <col min="12814" max="12814" width="14.6640625" style="61" customWidth="1"/>
    <col min="12815" max="12815" width="14" style="61" bestFit="1" customWidth="1"/>
    <col min="12816" max="13056" width="9.33203125" style="61"/>
    <col min="13057" max="13057" width="25.1640625" style="61" customWidth="1"/>
    <col min="13058" max="13058" width="55.6640625" style="61" bestFit="1" customWidth="1"/>
    <col min="13059" max="13059" width="13.83203125" style="61" bestFit="1" customWidth="1"/>
    <col min="13060" max="13060" width="54.83203125" style="61" bestFit="1" customWidth="1"/>
    <col min="13061" max="13061" width="33.33203125" style="61" bestFit="1" customWidth="1"/>
    <col min="13062" max="13062" width="24.83203125" style="61" bestFit="1" customWidth="1"/>
    <col min="13063" max="13063" width="9.6640625" style="61" customWidth="1"/>
    <col min="13064" max="13064" width="15" style="61" customWidth="1"/>
    <col min="13065" max="13065" width="13.33203125" style="61" customWidth="1"/>
    <col min="13066" max="13066" width="18" style="61" customWidth="1"/>
    <col min="13067" max="13068" width="15.6640625" style="61" customWidth="1"/>
    <col min="13069" max="13069" width="17.6640625" style="61" bestFit="1" customWidth="1"/>
    <col min="13070" max="13070" width="14.6640625" style="61" customWidth="1"/>
    <col min="13071" max="13071" width="14" style="61" bestFit="1" customWidth="1"/>
    <col min="13072" max="13312" width="9.33203125" style="61"/>
    <col min="13313" max="13313" width="25.1640625" style="61" customWidth="1"/>
    <col min="13314" max="13314" width="55.6640625" style="61" bestFit="1" customWidth="1"/>
    <col min="13315" max="13315" width="13.83203125" style="61" bestFit="1" customWidth="1"/>
    <col min="13316" max="13316" width="54.83203125" style="61" bestFit="1" customWidth="1"/>
    <col min="13317" max="13317" width="33.33203125" style="61" bestFit="1" customWidth="1"/>
    <col min="13318" max="13318" width="24.83203125" style="61" bestFit="1" customWidth="1"/>
    <col min="13319" max="13319" width="9.6640625" style="61" customWidth="1"/>
    <col min="13320" max="13320" width="15" style="61" customWidth="1"/>
    <col min="13321" max="13321" width="13.33203125" style="61" customWidth="1"/>
    <col min="13322" max="13322" width="18" style="61" customWidth="1"/>
    <col min="13323" max="13324" width="15.6640625" style="61" customWidth="1"/>
    <col min="13325" max="13325" width="17.6640625" style="61" bestFit="1" customWidth="1"/>
    <col min="13326" max="13326" width="14.6640625" style="61" customWidth="1"/>
    <col min="13327" max="13327" width="14" style="61" bestFit="1" customWidth="1"/>
    <col min="13328" max="13568" width="9.33203125" style="61"/>
    <col min="13569" max="13569" width="25.1640625" style="61" customWidth="1"/>
    <col min="13570" max="13570" width="55.6640625" style="61" bestFit="1" customWidth="1"/>
    <col min="13571" max="13571" width="13.83203125" style="61" bestFit="1" customWidth="1"/>
    <col min="13572" max="13572" width="54.83203125" style="61" bestFit="1" customWidth="1"/>
    <col min="13573" max="13573" width="33.33203125" style="61" bestFit="1" customWidth="1"/>
    <col min="13574" max="13574" width="24.83203125" style="61" bestFit="1" customWidth="1"/>
    <col min="13575" max="13575" width="9.6640625" style="61" customWidth="1"/>
    <col min="13576" max="13576" width="15" style="61" customWidth="1"/>
    <col min="13577" max="13577" width="13.33203125" style="61" customWidth="1"/>
    <col min="13578" max="13578" width="18" style="61" customWidth="1"/>
    <col min="13579" max="13580" width="15.6640625" style="61" customWidth="1"/>
    <col min="13581" max="13581" width="17.6640625" style="61" bestFit="1" customWidth="1"/>
    <col min="13582" max="13582" width="14.6640625" style="61" customWidth="1"/>
    <col min="13583" max="13583" width="14" style="61" bestFit="1" customWidth="1"/>
    <col min="13584" max="13824" width="9.33203125" style="61"/>
    <col min="13825" max="13825" width="25.1640625" style="61" customWidth="1"/>
    <col min="13826" max="13826" width="55.6640625" style="61" bestFit="1" customWidth="1"/>
    <col min="13827" max="13827" width="13.83203125" style="61" bestFit="1" customWidth="1"/>
    <col min="13828" max="13828" width="54.83203125" style="61" bestFit="1" customWidth="1"/>
    <col min="13829" max="13829" width="33.33203125" style="61" bestFit="1" customWidth="1"/>
    <col min="13830" max="13830" width="24.83203125" style="61" bestFit="1" customWidth="1"/>
    <col min="13831" max="13831" width="9.6640625" style="61" customWidth="1"/>
    <col min="13832" max="13832" width="15" style="61" customWidth="1"/>
    <col min="13833" max="13833" width="13.33203125" style="61" customWidth="1"/>
    <col min="13834" max="13834" width="18" style="61" customWidth="1"/>
    <col min="13835" max="13836" width="15.6640625" style="61" customWidth="1"/>
    <col min="13837" max="13837" width="17.6640625" style="61" bestFit="1" customWidth="1"/>
    <col min="13838" max="13838" width="14.6640625" style="61" customWidth="1"/>
    <col min="13839" max="13839" width="14" style="61" bestFit="1" customWidth="1"/>
    <col min="13840" max="14080" width="9.33203125" style="61"/>
    <col min="14081" max="14081" width="25.1640625" style="61" customWidth="1"/>
    <col min="14082" max="14082" width="55.6640625" style="61" bestFit="1" customWidth="1"/>
    <col min="14083" max="14083" width="13.83203125" style="61" bestFit="1" customWidth="1"/>
    <col min="14084" max="14084" width="54.83203125" style="61" bestFit="1" customWidth="1"/>
    <col min="14085" max="14085" width="33.33203125" style="61" bestFit="1" customWidth="1"/>
    <col min="14086" max="14086" width="24.83203125" style="61" bestFit="1" customWidth="1"/>
    <col min="14087" max="14087" width="9.6640625" style="61" customWidth="1"/>
    <col min="14088" max="14088" width="15" style="61" customWidth="1"/>
    <col min="14089" max="14089" width="13.33203125" style="61" customWidth="1"/>
    <col min="14090" max="14090" width="18" style="61" customWidth="1"/>
    <col min="14091" max="14092" width="15.6640625" style="61" customWidth="1"/>
    <col min="14093" max="14093" width="17.6640625" style="61" bestFit="1" customWidth="1"/>
    <col min="14094" max="14094" width="14.6640625" style="61" customWidth="1"/>
    <col min="14095" max="14095" width="14" style="61" bestFit="1" customWidth="1"/>
    <col min="14096" max="14336" width="9.33203125" style="61"/>
    <col min="14337" max="14337" width="25.1640625" style="61" customWidth="1"/>
    <col min="14338" max="14338" width="55.6640625" style="61" bestFit="1" customWidth="1"/>
    <col min="14339" max="14339" width="13.83203125" style="61" bestFit="1" customWidth="1"/>
    <col min="14340" max="14340" width="54.83203125" style="61" bestFit="1" customWidth="1"/>
    <col min="14341" max="14341" width="33.33203125" style="61" bestFit="1" customWidth="1"/>
    <col min="14342" max="14342" width="24.83203125" style="61" bestFit="1" customWidth="1"/>
    <col min="14343" max="14343" width="9.6640625" style="61" customWidth="1"/>
    <col min="14344" max="14344" width="15" style="61" customWidth="1"/>
    <col min="14345" max="14345" width="13.33203125" style="61" customWidth="1"/>
    <col min="14346" max="14346" width="18" style="61" customWidth="1"/>
    <col min="14347" max="14348" width="15.6640625" style="61" customWidth="1"/>
    <col min="14349" max="14349" width="17.6640625" style="61" bestFit="1" customWidth="1"/>
    <col min="14350" max="14350" width="14.6640625" style="61" customWidth="1"/>
    <col min="14351" max="14351" width="14" style="61" bestFit="1" customWidth="1"/>
    <col min="14352" max="14592" width="9.33203125" style="61"/>
    <col min="14593" max="14593" width="25.1640625" style="61" customWidth="1"/>
    <col min="14594" max="14594" width="55.6640625" style="61" bestFit="1" customWidth="1"/>
    <col min="14595" max="14595" width="13.83203125" style="61" bestFit="1" customWidth="1"/>
    <col min="14596" max="14596" width="54.83203125" style="61" bestFit="1" customWidth="1"/>
    <col min="14597" max="14597" width="33.33203125" style="61" bestFit="1" customWidth="1"/>
    <col min="14598" max="14598" width="24.83203125" style="61" bestFit="1" customWidth="1"/>
    <col min="14599" max="14599" width="9.6640625" style="61" customWidth="1"/>
    <col min="14600" max="14600" width="15" style="61" customWidth="1"/>
    <col min="14601" max="14601" width="13.33203125" style="61" customWidth="1"/>
    <col min="14602" max="14602" width="18" style="61" customWidth="1"/>
    <col min="14603" max="14604" width="15.6640625" style="61" customWidth="1"/>
    <col min="14605" max="14605" width="17.6640625" style="61" bestFit="1" customWidth="1"/>
    <col min="14606" max="14606" width="14.6640625" style="61" customWidth="1"/>
    <col min="14607" max="14607" width="14" style="61" bestFit="1" customWidth="1"/>
    <col min="14608" max="14848" width="9.33203125" style="61"/>
    <col min="14849" max="14849" width="25.1640625" style="61" customWidth="1"/>
    <col min="14850" max="14850" width="55.6640625" style="61" bestFit="1" customWidth="1"/>
    <col min="14851" max="14851" width="13.83203125" style="61" bestFit="1" customWidth="1"/>
    <col min="14852" max="14852" width="54.83203125" style="61" bestFit="1" customWidth="1"/>
    <col min="14853" max="14853" width="33.33203125" style="61" bestFit="1" customWidth="1"/>
    <col min="14854" max="14854" width="24.83203125" style="61" bestFit="1" customWidth="1"/>
    <col min="14855" max="14855" width="9.6640625" style="61" customWidth="1"/>
    <col min="14856" max="14856" width="15" style="61" customWidth="1"/>
    <col min="14857" max="14857" width="13.33203125" style="61" customWidth="1"/>
    <col min="14858" max="14858" width="18" style="61" customWidth="1"/>
    <col min="14859" max="14860" width="15.6640625" style="61" customWidth="1"/>
    <col min="14861" max="14861" width="17.6640625" style="61" bestFit="1" customWidth="1"/>
    <col min="14862" max="14862" width="14.6640625" style="61" customWidth="1"/>
    <col min="14863" max="14863" width="14" style="61" bestFit="1" customWidth="1"/>
    <col min="14864" max="15104" width="9.33203125" style="61"/>
    <col min="15105" max="15105" width="25.1640625" style="61" customWidth="1"/>
    <col min="15106" max="15106" width="55.6640625" style="61" bestFit="1" customWidth="1"/>
    <col min="15107" max="15107" width="13.83203125" style="61" bestFit="1" customWidth="1"/>
    <col min="15108" max="15108" width="54.83203125" style="61" bestFit="1" customWidth="1"/>
    <col min="15109" max="15109" width="33.33203125" style="61" bestFit="1" customWidth="1"/>
    <col min="15110" max="15110" width="24.83203125" style="61" bestFit="1" customWidth="1"/>
    <col min="15111" max="15111" width="9.6640625" style="61" customWidth="1"/>
    <col min="15112" max="15112" width="15" style="61" customWidth="1"/>
    <col min="15113" max="15113" width="13.33203125" style="61" customWidth="1"/>
    <col min="15114" max="15114" width="18" style="61" customWidth="1"/>
    <col min="15115" max="15116" width="15.6640625" style="61" customWidth="1"/>
    <col min="15117" max="15117" width="17.6640625" style="61" bestFit="1" customWidth="1"/>
    <col min="15118" max="15118" width="14.6640625" style="61" customWidth="1"/>
    <col min="15119" max="15119" width="14" style="61" bestFit="1" customWidth="1"/>
    <col min="15120" max="15360" width="9.33203125" style="61"/>
    <col min="15361" max="15361" width="25.1640625" style="61" customWidth="1"/>
    <col min="15362" max="15362" width="55.6640625" style="61" bestFit="1" customWidth="1"/>
    <col min="15363" max="15363" width="13.83203125" style="61" bestFit="1" customWidth="1"/>
    <col min="15364" max="15364" width="54.83203125" style="61" bestFit="1" customWidth="1"/>
    <col min="15365" max="15365" width="33.33203125" style="61" bestFit="1" customWidth="1"/>
    <col min="15366" max="15366" width="24.83203125" style="61" bestFit="1" customWidth="1"/>
    <col min="15367" max="15367" width="9.6640625" style="61" customWidth="1"/>
    <col min="15368" max="15368" width="15" style="61" customWidth="1"/>
    <col min="15369" max="15369" width="13.33203125" style="61" customWidth="1"/>
    <col min="15370" max="15370" width="18" style="61" customWidth="1"/>
    <col min="15371" max="15372" width="15.6640625" style="61" customWidth="1"/>
    <col min="15373" max="15373" width="17.6640625" style="61" bestFit="1" customWidth="1"/>
    <col min="15374" max="15374" width="14.6640625" style="61" customWidth="1"/>
    <col min="15375" max="15375" width="14" style="61" bestFit="1" customWidth="1"/>
    <col min="15376" max="15616" width="9.33203125" style="61"/>
    <col min="15617" max="15617" width="25.1640625" style="61" customWidth="1"/>
    <col min="15618" max="15618" width="55.6640625" style="61" bestFit="1" customWidth="1"/>
    <col min="15619" max="15619" width="13.83203125" style="61" bestFit="1" customWidth="1"/>
    <col min="15620" max="15620" width="54.83203125" style="61" bestFit="1" customWidth="1"/>
    <col min="15621" max="15621" width="33.33203125" style="61" bestFit="1" customWidth="1"/>
    <col min="15622" max="15622" width="24.83203125" style="61" bestFit="1" customWidth="1"/>
    <col min="15623" max="15623" width="9.6640625" style="61" customWidth="1"/>
    <col min="15624" max="15624" width="15" style="61" customWidth="1"/>
    <col min="15625" max="15625" width="13.33203125" style="61" customWidth="1"/>
    <col min="15626" max="15626" width="18" style="61" customWidth="1"/>
    <col min="15627" max="15628" width="15.6640625" style="61" customWidth="1"/>
    <col min="15629" max="15629" width="17.6640625" style="61" bestFit="1" customWidth="1"/>
    <col min="15630" max="15630" width="14.6640625" style="61" customWidth="1"/>
    <col min="15631" max="15631" width="14" style="61" bestFit="1" customWidth="1"/>
    <col min="15632" max="15872" width="9.33203125" style="61"/>
    <col min="15873" max="15873" width="25.1640625" style="61" customWidth="1"/>
    <col min="15874" max="15874" width="55.6640625" style="61" bestFit="1" customWidth="1"/>
    <col min="15875" max="15875" width="13.83203125" style="61" bestFit="1" customWidth="1"/>
    <col min="15876" max="15876" width="54.83203125" style="61" bestFit="1" customWidth="1"/>
    <col min="15877" max="15877" width="33.33203125" style="61" bestFit="1" customWidth="1"/>
    <col min="15878" max="15878" width="24.83203125" style="61" bestFit="1" customWidth="1"/>
    <col min="15879" max="15879" width="9.6640625" style="61" customWidth="1"/>
    <col min="15880" max="15880" width="15" style="61" customWidth="1"/>
    <col min="15881" max="15881" width="13.33203125" style="61" customWidth="1"/>
    <col min="15882" max="15882" width="18" style="61" customWidth="1"/>
    <col min="15883" max="15884" width="15.6640625" style="61" customWidth="1"/>
    <col min="15885" max="15885" width="17.6640625" style="61" bestFit="1" customWidth="1"/>
    <col min="15886" max="15886" width="14.6640625" style="61" customWidth="1"/>
    <col min="15887" max="15887" width="14" style="61" bestFit="1" customWidth="1"/>
    <col min="15888" max="16128" width="9.33203125" style="61"/>
    <col min="16129" max="16129" width="25.1640625" style="61" customWidth="1"/>
    <col min="16130" max="16130" width="55.6640625" style="61" bestFit="1" customWidth="1"/>
    <col min="16131" max="16131" width="13.83203125" style="61" bestFit="1" customWidth="1"/>
    <col min="16132" max="16132" width="54.83203125" style="61" bestFit="1" customWidth="1"/>
    <col min="16133" max="16133" width="33.33203125" style="61" bestFit="1" customWidth="1"/>
    <col min="16134" max="16134" width="24.83203125" style="61" bestFit="1" customWidth="1"/>
    <col min="16135" max="16135" width="9.6640625" style="61" customWidth="1"/>
    <col min="16136" max="16136" width="15" style="61" customWidth="1"/>
    <col min="16137" max="16137" width="13.33203125" style="61" customWidth="1"/>
    <col min="16138" max="16138" width="18" style="61" customWidth="1"/>
    <col min="16139" max="16140" width="15.6640625" style="61" customWidth="1"/>
    <col min="16141" max="16141" width="17.6640625" style="61" bestFit="1" customWidth="1"/>
    <col min="16142" max="16142" width="14.6640625" style="61" customWidth="1"/>
    <col min="16143" max="16143" width="14" style="61" bestFit="1" customWidth="1"/>
    <col min="16144" max="16384" width="9.33203125" style="61"/>
  </cols>
  <sheetData>
    <row r="1" spans="1:16" ht="38.450000000000003" customHeight="1" x14ac:dyDescent="0.25">
      <c r="A1" s="57" t="s">
        <v>187</v>
      </c>
      <c r="B1" s="58" t="s">
        <v>188</v>
      </c>
      <c r="C1" s="58" t="s">
        <v>189</v>
      </c>
      <c r="D1" s="58" t="s">
        <v>190</v>
      </c>
      <c r="E1" s="58" t="s">
        <v>191</v>
      </c>
      <c r="F1" s="59" t="s">
        <v>192</v>
      </c>
      <c r="G1" s="58" t="s">
        <v>193</v>
      </c>
      <c r="H1" s="60" t="s">
        <v>194</v>
      </c>
      <c r="I1" s="60" t="s">
        <v>195</v>
      </c>
      <c r="J1" s="60" t="s">
        <v>196</v>
      </c>
      <c r="K1" s="60" t="s">
        <v>197</v>
      </c>
      <c r="L1" s="60" t="s">
        <v>198</v>
      </c>
      <c r="M1" s="60" t="s">
        <v>199</v>
      </c>
      <c r="N1" s="60" t="s">
        <v>200</v>
      </c>
      <c r="O1" s="60" t="s">
        <v>201</v>
      </c>
    </row>
    <row r="2" spans="1:16" hidden="1" x14ac:dyDescent="0.25">
      <c r="A2" s="62" t="s">
        <v>202</v>
      </c>
      <c r="B2" s="62" t="s">
        <v>203</v>
      </c>
      <c r="C2" s="63" t="s">
        <v>204</v>
      </c>
      <c r="D2" s="63" t="s">
        <v>205</v>
      </c>
      <c r="E2" s="63" t="s">
        <v>206</v>
      </c>
      <c r="F2" s="64" t="s">
        <v>207</v>
      </c>
      <c r="G2" s="65">
        <v>2017</v>
      </c>
      <c r="H2" s="66">
        <v>0.8</v>
      </c>
      <c r="I2" s="66">
        <v>6714</v>
      </c>
      <c r="J2" s="66">
        <v>0</v>
      </c>
      <c r="K2" s="66">
        <v>6714</v>
      </c>
      <c r="L2" s="66">
        <v>618.04499999999996</v>
      </c>
      <c r="M2" s="66">
        <v>6714</v>
      </c>
      <c r="N2" s="66">
        <v>7332.0450000000001</v>
      </c>
      <c r="O2" s="66">
        <v>0</v>
      </c>
    </row>
    <row r="3" spans="1:16" ht="24.75" hidden="1" x14ac:dyDescent="0.25">
      <c r="A3" s="67" t="s">
        <v>208</v>
      </c>
      <c r="B3" s="68" t="s">
        <v>209</v>
      </c>
      <c r="C3" s="69" t="s">
        <v>204</v>
      </c>
      <c r="D3" s="69" t="s">
        <v>210</v>
      </c>
      <c r="E3" s="69" t="s">
        <v>211</v>
      </c>
      <c r="F3" s="70" t="s">
        <v>207</v>
      </c>
      <c r="G3" s="71">
        <v>2017</v>
      </c>
      <c r="H3" s="72">
        <v>50</v>
      </c>
      <c r="I3" s="72">
        <v>219994.41958027426</v>
      </c>
      <c r="J3" s="72">
        <v>22710.417639536259</v>
      </c>
      <c r="K3" s="72">
        <v>197284.00194073797</v>
      </c>
      <c r="L3" s="72">
        <v>5840.2598730960008</v>
      </c>
      <c r="M3" s="72">
        <v>197284.00194073797</v>
      </c>
      <c r="N3" s="72">
        <v>0</v>
      </c>
      <c r="O3" s="72">
        <v>197284.00194073797</v>
      </c>
    </row>
    <row r="4" spans="1:16" hidden="1" x14ac:dyDescent="0.25">
      <c r="A4" s="67" t="s">
        <v>212</v>
      </c>
      <c r="B4" s="68" t="s">
        <v>213</v>
      </c>
      <c r="C4" s="69" t="s">
        <v>204</v>
      </c>
      <c r="D4" s="69" t="s">
        <v>214</v>
      </c>
      <c r="E4" s="69" t="s">
        <v>215</v>
      </c>
      <c r="F4" s="70" t="s">
        <v>207</v>
      </c>
      <c r="G4" s="71">
        <v>2017</v>
      </c>
      <c r="H4" s="72">
        <v>75</v>
      </c>
      <c r="I4" s="72">
        <v>154104.08960499999</v>
      </c>
      <c r="J4" s="72">
        <v>0</v>
      </c>
      <c r="K4" s="72">
        <v>154104.08960499999</v>
      </c>
      <c r="L4" s="72">
        <v>1044.923</v>
      </c>
      <c r="M4" s="72">
        <v>153059.16660499998</v>
      </c>
      <c r="N4" s="72">
        <v>0</v>
      </c>
      <c r="O4" s="72">
        <v>153059.16660499998</v>
      </c>
    </row>
    <row r="5" spans="1:16" hidden="1" x14ac:dyDescent="0.25">
      <c r="A5" s="68" t="s">
        <v>216</v>
      </c>
      <c r="B5" s="68" t="s">
        <v>217</v>
      </c>
      <c r="C5" s="69" t="s">
        <v>204</v>
      </c>
      <c r="D5" s="69" t="s">
        <v>218</v>
      </c>
      <c r="E5" s="69" t="s">
        <v>215</v>
      </c>
      <c r="F5" s="70" t="s">
        <v>207</v>
      </c>
      <c r="G5" s="71">
        <v>2017</v>
      </c>
      <c r="H5" s="72">
        <v>10</v>
      </c>
      <c r="I5" s="72">
        <v>27156.503880000004</v>
      </c>
      <c r="J5" s="72">
        <v>0</v>
      </c>
      <c r="K5" s="72">
        <v>27156.503880000004</v>
      </c>
      <c r="L5" s="72">
        <v>102.50676</v>
      </c>
      <c r="M5" s="72">
        <v>27156.503880000004</v>
      </c>
      <c r="N5" s="72">
        <v>31.231999999999999</v>
      </c>
      <c r="O5" s="72">
        <v>27156.503880000004</v>
      </c>
    </row>
    <row r="6" spans="1:16" hidden="1" x14ac:dyDescent="0.25">
      <c r="A6" s="68" t="s">
        <v>219</v>
      </c>
      <c r="B6" s="68" t="s">
        <v>220</v>
      </c>
      <c r="C6" s="69" t="s">
        <v>204</v>
      </c>
      <c r="D6" s="69" t="s">
        <v>221</v>
      </c>
      <c r="E6" s="69" t="s">
        <v>215</v>
      </c>
      <c r="F6" s="70" t="s">
        <v>207</v>
      </c>
      <c r="G6" s="71">
        <v>2017</v>
      </c>
      <c r="H6" s="72">
        <v>19.98</v>
      </c>
      <c r="I6" s="72">
        <v>53326.645520000005</v>
      </c>
      <c r="J6" s="72">
        <v>0</v>
      </c>
      <c r="K6" s="72">
        <v>53326.645520000005</v>
      </c>
      <c r="L6" s="72">
        <v>181.5196</v>
      </c>
      <c r="M6" s="72">
        <v>53326.645520000005</v>
      </c>
      <c r="N6" s="72">
        <v>33.695</v>
      </c>
      <c r="O6" s="72">
        <v>53326.645520000005</v>
      </c>
    </row>
    <row r="7" spans="1:16" hidden="1" x14ac:dyDescent="0.25">
      <c r="A7" s="68" t="s">
        <v>222</v>
      </c>
      <c r="B7" s="68" t="s">
        <v>223</v>
      </c>
      <c r="C7" s="69" t="s">
        <v>204</v>
      </c>
      <c r="D7" s="69" t="s">
        <v>224</v>
      </c>
      <c r="E7" s="69" t="s">
        <v>225</v>
      </c>
      <c r="F7" s="70" t="s">
        <v>207</v>
      </c>
      <c r="G7" s="71">
        <v>2017</v>
      </c>
      <c r="H7" s="72">
        <v>600</v>
      </c>
      <c r="I7" s="72">
        <v>1636523</v>
      </c>
      <c r="J7" s="72">
        <v>138108</v>
      </c>
      <c r="K7" s="72">
        <v>1498595</v>
      </c>
      <c r="L7" s="72">
        <v>0</v>
      </c>
      <c r="M7" s="72">
        <v>1498595</v>
      </c>
      <c r="N7" s="72">
        <v>0</v>
      </c>
      <c r="O7" s="72">
        <v>1498595</v>
      </c>
      <c r="P7" s="61">
        <f>O7/(H7*8760)</f>
        <v>0.28512081430745817</v>
      </c>
    </row>
    <row r="8" spans="1:16" hidden="1" x14ac:dyDescent="0.25">
      <c r="A8" s="68" t="s">
        <v>226</v>
      </c>
      <c r="B8" s="68" t="s">
        <v>227</v>
      </c>
      <c r="C8" s="69" t="s">
        <v>204</v>
      </c>
      <c r="D8" s="69" t="s">
        <v>228</v>
      </c>
      <c r="E8" s="69" t="s">
        <v>229</v>
      </c>
      <c r="F8" s="70" t="s">
        <v>207</v>
      </c>
      <c r="G8" s="71">
        <v>2017</v>
      </c>
      <c r="H8" s="72">
        <v>133.69999999999999</v>
      </c>
      <c r="I8" s="72">
        <v>418544.17599999998</v>
      </c>
      <c r="J8" s="72">
        <v>0</v>
      </c>
      <c r="K8" s="72">
        <v>418544.17599999998</v>
      </c>
      <c r="L8" s="72">
        <v>266.45</v>
      </c>
      <c r="M8" s="72">
        <v>413188.87000000005</v>
      </c>
      <c r="N8" s="72">
        <v>251.95300000000003</v>
      </c>
      <c r="O8" s="72">
        <v>410001.85000000003</v>
      </c>
    </row>
    <row r="9" spans="1:16" hidden="1" x14ac:dyDescent="0.25">
      <c r="A9" s="68" t="s">
        <v>230</v>
      </c>
      <c r="B9" s="68" t="s">
        <v>231</v>
      </c>
      <c r="C9" s="69" t="s">
        <v>204</v>
      </c>
      <c r="D9" s="69" t="s">
        <v>232</v>
      </c>
      <c r="E9" s="69" t="s">
        <v>229</v>
      </c>
      <c r="F9" s="70" t="s">
        <v>207</v>
      </c>
      <c r="G9" s="71">
        <v>2017</v>
      </c>
      <c r="H9" s="72">
        <v>90.8</v>
      </c>
      <c r="I9" s="72">
        <v>316737.04970936204</v>
      </c>
      <c r="J9" s="72">
        <v>0</v>
      </c>
      <c r="K9" s="72">
        <v>316737.04970936204</v>
      </c>
      <c r="L9" s="72">
        <v>340.16972000000004</v>
      </c>
      <c r="M9" s="72">
        <v>316396.87998936203</v>
      </c>
      <c r="N9" s="72">
        <v>298.43577000000005</v>
      </c>
      <c r="O9" s="72">
        <v>316737.04970936204</v>
      </c>
    </row>
    <row r="10" spans="1:16" hidden="1" x14ac:dyDescent="0.25">
      <c r="A10" s="68" t="s">
        <v>233</v>
      </c>
      <c r="B10" s="68" t="s">
        <v>234</v>
      </c>
      <c r="C10" s="69" t="s">
        <v>204</v>
      </c>
      <c r="D10" s="69" t="s">
        <v>235</v>
      </c>
      <c r="E10" s="69" t="s">
        <v>215</v>
      </c>
      <c r="F10" s="70" t="s">
        <v>207</v>
      </c>
      <c r="G10" s="71">
        <v>2017</v>
      </c>
      <c r="H10" s="72">
        <v>9</v>
      </c>
      <c r="I10" s="72">
        <v>19617.45</v>
      </c>
      <c r="J10" s="72">
        <v>95.742999999999995</v>
      </c>
      <c r="K10" s="72">
        <v>19713.193000000003</v>
      </c>
      <c r="L10" s="72">
        <v>0</v>
      </c>
      <c r="M10" s="72">
        <v>19617.45</v>
      </c>
      <c r="N10" s="72">
        <v>0</v>
      </c>
      <c r="O10" s="72">
        <v>19617.45</v>
      </c>
    </row>
    <row r="11" spans="1:16" hidden="1" x14ac:dyDescent="0.25">
      <c r="A11" s="68" t="s">
        <v>236</v>
      </c>
      <c r="B11" s="68" t="s">
        <v>237</v>
      </c>
      <c r="C11" s="69" t="s">
        <v>204</v>
      </c>
      <c r="D11" s="69" t="s">
        <v>238</v>
      </c>
      <c r="E11" s="69" t="s">
        <v>138</v>
      </c>
      <c r="F11" s="70" t="s">
        <v>207</v>
      </c>
      <c r="G11" s="71">
        <v>2017</v>
      </c>
      <c r="H11" s="72">
        <v>670</v>
      </c>
      <c r="I11" s="72">
        <v>75875.199999999997</v>
      </c>
      <c r="J11" s="72">
        <v>551.29000000000178</v>
      </c>
      <c r="K11" s="72">
        <v>75323.91</v>
      </c>
      <c r="L11" s="72">
        <v>13773.310000000001</v>
      </c>
      <c r="M11" s="72">
        <v>75323.91</v>
      </c>
      <c r="N11" s="72">
        <v>0</v>
      </c>
      <c r="O11" s="72">
        <v>75323.91</v>
      </c>
      <c r="P11" s="61">
        <f>O11/(H11*8760)</f>
        <v>1.2833760989572686E-2</v>
      </c>
    </row>
    <row r="12" spans="1:16" hidden="1" x14ac:dyDescent="0.25">
      <c r="A12" s="68" t="s">
        <v>239</v>
      </c>
      <c r="B12" s="68" t="s">
        <v>240</v>
      </c>
      <c r="C12" s="69" t="s">
        <v>204</v>
      </c>
      <c r="D12" s="69" t="s">
        <v>241</v>
      </c>
      <c r="E12" s="69" t="s">
        <v>242</v>
      </c>
      <c r="F12" s="70" t="s">
        <v>207</v>
      </c>
      <c r="G12" s="71">
        <v>2017</v>
      </c>
      <c r="H12" s="72">
        <v>4</v>
      </c>
      <c r="I12" s="72">
        <v>27547.777999999998</v>
      </c>
      <c r="J12" s="72">
        <v>0</v>
      </c>
      <c r="K12" s="72">
        <v>27547.777999999998</v>
      </c>
      <c r="L12" s="72">
        <v>0</v>
      </c>
      <c r="M12" s="72">
        <v>27547.777999999998</v>
      </c>
      <c r="N12" s="72">
        <v>11.9</v>
      </c>
      <c r="O12" s="72">
        <v>27535.878000000001</v>
      </c>
    </row>
    <row r="13" spans="1:16" hidden="1" x14ac:dyDescent="0.25">
      <c r="A13" s="68" t="s">
        <v>239</v>
      </c>
      <c r="B13" s="68" t="s">
        <v>240</v>
      </c>
      <c r="C13" s="69" t="s">
        <v>204</v>
      </c>
      <c r="D13" s="69" t="s">
        <v>243</v>
      </c>
      <c r="E13" s="69" t="s">
        <v>242</v>
      </c>
      <c r="F13" s="70" t="s">
        <v>207</v>
      </c>
      <c r="G13" s="71">
        <v>2017</v>
      </c>
      <c r="H13" s="72">
        <v>3</v>
      </c>
      <c r="I13" s="72">
        <v>17168.920000000002</v>
      </c>
      <c r="J13" s="72">
        <v>0</v>
      </c>
      <c r="K13" s="72">
        <v>17168.920000000002</v>
      </c>
      <c r="L13" s="72">
        <v>0</v>
      </c>
      <c r="M13" s="72">
        <v>17168.920000000002</v>
      </c>
      <c r="N13" s="72">
        <v>8.2999999999999989</v>
      </c>
      <c r="O13" s="72">
        <v>17160.62</v>
      </c>
    </row>
    <row r="14" spans="1:16" hidden="1" x14ac:dyDescent="0.25">
      <c r="A14" s="68" t="s">
        <v>244</v>
      </c>
      <c r="B14" s="68" t="s">
        <v>245</v>
      </c>
      <c r="C14" s="69" t="s">
        <v>204</v>
      </c>
      <c r="D14" s="69" t="s">
        <v>246</v>
      </c>
      <c r="E14" s="69" t="s">
        <v>229</v>
      </c>
      <c r="F14" s="70" t="s">
        <v>207</v>
      </c>
      <c r="G14" s="71">
        <v>2017</v>
      </c>
      <c r="H14" s="72">
        <v>135.19999999999999</v>
      </c>
      <c r="I14" s="72">
        <v>369651.24549999996</v>
      </c>
      <c r="J14" s="72">
        <v>0</v>
      </c>
      <c r="K14" s="72">
        <v>369651.24549999996</v>
      </c>
      <c r="L14" s="72">
        <v>0</v>
      </c>
      <c r="M14" s="72">
        <v>369651.24549999996</v>
      </c>
      <c r="N14" s="72">
        <v>3425.373</v>
      </c>
      <c r="O14" s="72">
        <v>369651.24549999996</v>
      </c>
    </row>
    <row r="15" spans="1:16" hidden="1" x14ac:dyDescent="0.25">
      <c r="A15" s="68" t="s">
        <v>247</v>
      </c>
      <c r="B15" s="68" t="s">
        <v>248</v>
      </c>
      <c r="C15" s="69" t="s">
        <v>204</v>
      </c>
      <c r="D15" s="69" t="s">
        <v>249</v>
      </c>
      <c r="E15" s="69" t="s">
        <v>250</v>
      </c>
      <c r="F15" s="70" t="s">
        <v>207</v>
      </c>
      <c r="G15" s="71">
        <v>2017</v>
      </c>
      <c r="H15" s="72">
        <v>4.2</v>
      </c>
      <c r="I15" s="72">
        <v>22425.900969999999</v>
      </c>
      <c r="J15" s="72">
        <v>3331.0259999999998</v>
      </c>
      <c r="K15" s="72">
        <v>19094.874970000001</v>
      </c>
      <c r="L15" s="72">
        <v>0</v>
      </c>
      <c r="M15" s="72">
        <v>19094.874970000001</v>
      </c>
      <c r="N15" s="72">
        <v>0</v>
      </c>
      <c r="O15" s="72">
        <v>19094.874970000001</v>
      </c>
    </row>
    <row r="16" spans="1:16" hidden="1" x14ac:dyDescent="0.25">
      <c r="A16" s="68" t="s">
        <v>251</v>
      </c>
      <c r="B16" s="68" t="s">
        <v>252</v>
      </c>
      <c r="C16" s="69" t="s">
        <v>204</v>
      </c>
      <c r="D16" s="69" t="s">
        <v>253</v>
      </c>
      <c r="E16" s="69" t="s">
        <v>229</v>
      </c>
      <c r="F16" s="70" t="s">
        <v>207</v>
      </c>
      <c r="G16" s="71">
        <v>2017</v>
      </c>
      <c r="H16" s="72">
        <v>21</v>
      </c>
      <c r="I16" s="72">
        <v>58298.190480000012</v>
      </c>
      <c r="J16" s="72">
        <v>0</v>
      </c>
      <c r="K16" s="72">
        <v>58297.562100000003</v>
      </c>
      <c r="L16" s="72">
        <v>141.80405029999997</v>
      </c>
      <c r="M16" s="72">
        <v>58155.982689699995</v>
      </c>
      <c r="N16" s="72">
        <v>0</v>
      </c>
      <c r="O16" s="72">
        <v>58155.982689699995</v>
      </c>
    </row>
    <row r="17" spans="1:16" hidden="1" x14ac:dyDescent="0.25">
      <c r="A17" s="73" t="s">
        <v>254</v>
      </c>
      <c r="B17" s="68" t="s">
        <v>255</v>
      </c>
      <c r="C17" s="69" t="s">
        <v>256</v>
      </c>
      <c r="D17" s="69" t="s">
        <v>257</v>
      </c>
      <c r="E17" s="69" t="s">
        <v>138</v>
      </c>
      <c r="F17" s="70" t="s">
        <v>207</v>
      </c>
      <c r="G17" s="71">
        <v>2017</v>
      </c>
      <c r="H17" s="72">
        <v>40</v>
      </c>
      <c r="I17" s="72">
        <v>0</v>
      </c>
      <c r="J17" s="72">
        <v>64.407000000000011</v>
      </c>
      <c r="K17" s="72">
        <v>-64.407000000000011</v>
      </c>
      <c r="L17" s="72">
        <v>0</v>
      </c>
      <c r="M17" s="72">
        <v>-64.407000000000011</v>
      </c>
      <c r="N17" s="72">
        <v>0</v>
      </c>
      <c r="O17" s="72">
        <v>0</v>
      </c>
      <c r="P17" s="61">
        <f>O17/(H17*8760)</f>
        <v>0</v>
      </c>
    </row>
    <row r="18" spans="1:16" hidden="1" x14ac:dyDescent="0.25">
      <c r="A18" s="73" t="s">
        <v>254</v>
      </c>
      <c r="B18" s="68" t="s">
        <v>255</v>
      </c>
      <c r="C18" s="69" t="s">
        <v>256</v>
      </c>
      <c r="D18" s="69" t="s">
        <v>258</v>
      </c>
      <c r="E18" s="69" t="s">
        <v>138</v>
      </c>
      <c r="F18" s="70" t="s">
        <v>207</v>
      </c>
      <c r="G18" s="71">
        <v>2017</v>
      </c>
      <c r="H18" s="72">
        <v>40</v>
      </c>
      <c r="I18" s="72">
        <v>6.4</v>
      </c>
      <c r="J18" s="72">
        <v>11.744</v>
      </c>
      <c r="K18" s="72">
        <v>-5.3440000000000003</v>
      </c>
      <c r="L18" s="72">
        <v>0</v>
      </c>
      <c r="M18" s="72">
        <v>-5.3440000000000003</v>
      </c>
      <c r="N18" s="72">
        <v>0</v>
      </c>
      <c r="O18" s="72">
        <v>0</v>
      </c>
      <c r="P18" s="61">
        <f>O18/(H18*8760)</f>
        <v>0</v>
      </c>
    </row>
    <row r="19" spans="1:16" hidden="1" x14ac:dyDescent="0.25">
      <c r="A19" s="73" t="s">
        <v>254</v>
      </c>
      <c r="B19" s="68" t="s">
        <v>255</v>
      </c>
      <c r="C19" s="69" t="s">
        <v>256</v>
      </c>
      <c r="D19" s="69" t="s">
        <v>259</v>
      </c>
      <c r="E19" s="69" t="s">
        <v>260</v>
      </c>
      <c r="F19" s="70" t="s">
        <v>207</v>
      </c>
      <c r="G19" s="71">
        <v>2017</v>
      </c>
      <c r="H19" s="72">
        <v>180</v>
      </c>
      <c r="I19" s="72">
        <v>18289.125000000004</v>
      </c>
      <c r="J19" s="72">
        <v>237.92500000000001</v>
      </c>
      <c r="K19" s="72">
        <v>18051.2</v>
      </c>
      <c r="L19" s="72">
        <v>25738.999999999996</v>
      </c>
      <c r="M19" s="72">
        <v>-7687.7999999999993</v>
      </c>
      <c r="N19" s="72">
        <v>0</v>
      </c>
      <c r="O19" s="72">
        <v>0</v>
      </c>
    </row>
    <row r="20" spans="1:16" hidden="1" x14ac:dyDescent="0.25">
      <c r="A20" s="68" t="s">
        <v>261</v>
      </c>
      <c r="B20" s="68" t="s">
        <v>262</v>
      </c>
      <c r="C20" s="69" t="s">
        <v>256</v>
      </c>
      <c r="D20" s="69" t="s">
        <v>263</v>
      </c>
      <c r="E20" s="69" t="s">
        <v>225</v>
      </c>
      <c r="F20" s="70" t="s">
        <v>207</v>
      </c>
      <c r="G20" s="71">
        <v>2017</v>
      </c>
      <c r="H20" s="72">
        <v>300</v>
      </c>
      <c r="I20" s="72">
        <v>0</v>
      </c>
      <c r="J20" s="72">
        <v>0</v>
      </c>
      <c r="K20" s="72">
        <v>0</v>
      </c>
      <c r="L20" s="72">
        <v>5114.3999999999996</v>
      </c>
      <c r="M20" s="72">
        <v>-5114.3999999999996</v>
      </c>
      <c r="N20" s="72">
        <v>0</v>
      </c>
      <c r="O20" s="72">
        <v>-5114.3999999999996</v>
      </c>
    </row>
    <row r="21" spans="1:16" hidden="1" x14ac:dyDescent="0.25">
      <c r="A21" s="68" t="s">
        <v>261</v>
      </c>
      <c r="B21" s="68" t="s">
        <v>262</v>
      </c>
      <c r="C21" s="69" t="s">
        <v>256</v>
      </c>
      <c r="D21" s="69" t="s">
        <v>264</v>
      </c>
      <c r="E21" s="69" t="s">
        <v>265</v>
      </c>
      <c r="F21" s="70" t="s">
        <v>207</v>
      </c>
      <c r="G21" s="71">
        <v>2017</v>
      </c>
      <c r="H21" s="72">
        <v>204</v>
      </c>
      <c r="I21" s="72">
        <v>20347</v>
      </c>
      <c r="J21" s="72">
        <v>0</v>
      </c>
      <c r="K21" s="72">
        <v>20347</v>
      </c>
      <c r="L21" s="72">
        <v>1434</v>
      </c>
      <c r="M21" s="72">
        <v>18913</v>
      </c>
      <c r="N21" s="72">
        <v>5389</v>
      </c>
      <c r="O21" s="72">
        <v>13524</v>
      </c>
    </row>
    <row r="22" spans="1:16" hidden="1" x14ac:dyDescent="0.25">
      <c r="A22" s="68" t="s">
        <v>266</v>
      </c>
      <c r="B22" s="68" t="s">
        <v>267</v>
      </c>
      <c r="C22" s="69" t="s">
        <v>204</v>
      </c>
      <c r="D22" s="69" t="s">
        <v>268</v>
      </c>
      <c r="E22" s="69" t="s">
        <v>242</v>
      </c>
      <c r="F22" s="70" t="s">
        <v>207</v>
      </c>
      <c r="G22" s="71">
        <v>2017</v>
      </c>
      <c r="H22" s="72">
        <v>1.5</v>
      </c>
      <c r="I22" s="72">
        <v>5141.7699999999995</v>
      </c>
      <c r="J22" s="72">
        <v>61.4</v>
      </c>
      <c r="K22" s="72">
        <v>5080.3700000000008</v>
      </c>
      <c r="L22" s="72">
        <v>0</v>
      </c>
      <c r="M22" s="72">
        <v>5080.3700000000008</v>
      </c>
      <c r="N22" s="72">
        <v>0</v>
      </c>
      <c r="O22" s="72">
        <v>5080.3700000000008</v>
      </c>
    </row>
    <row r="23" spans="1:16" hidden="1" x14ac:dyDescent="0.25">
      <c r="A23" s="68" t="s">
        <v>269</v>
      </c>
      <c r="B23" s="68" t="s">
        <v>270</v>
      </c>
      <c r="C23" s="69" t="s">
        <v>204</v>
      </c>
      <c r="D23" s="69" t="s">
        <v>270</v>
      </c>
      <c r="E23" s="69" t="s">
        <v>215</v>
      </c>
      <c r="F23" s="70" t="s">
        <v>207</v>
      </c>
      <c r="G23" s="71">
        <v>2017</v>
      </c>
      <c r="H23" s="72">
        <v>30</v>
      </c>
      <c r="I23" s="72">
        <v>61117.127480000017</v>
      </c>
      <c r="J23" s="72">
        <v>0</v>
      </c>
      <c r="K23" s="72">
        <v>61117.127480000017</v>
      </c>
      <c r="L23" s="72">
        <v>375.8225291177913</v>
      </c>
      <c r="M23" s="72">
        <v>60741.304950882222</v>
      </c>
      <c r="N23" s="72">
        <v>0</v>
      </c>
      <c r="O23" s="72">
        <v>60741.304950882222</v>
      </c>
    </row>
    <row r="24" spans="1:16" hidden="1" x14ac:dyDescent="0.25">
      <c r="A24" s="68" t="s">
        <v>271</v>
      </c>
      <c r="B24" s="68" t="s">
        <v>272</v>
      </c>
      <c r="C24" s="69" t="s">
        <v>204</v>
      </c>
      <c r="D24" s="69" t="s">
        <v>273</v>
      </c>
      <c r="E24" s="69" t="s">
        <v>229</v>
      </c>
      <c r="F24" s="70" t="s">
        <v>207</v>
      </c>
      <c r="G24" s="71">
        <v>2017</v>
      </c>
      <c r="H24" s="72">
        <v>75</v>
      </c>
      <c r="I24" s="72">
        <v>196760.74800000002</v>
      </c>
      <c r="J24" s="72">
        <v>490.4</v>
      </c>
      <c r="K24" s="72">
        <v>196270.34800000003</v>
      </c>
      <c r="L24" s="72">
        <v>0</v>
      </c>
      <c r="M24" s="72">
        <v>196270.34800000003</v>
      </c>
      <c r="N24" s="72">
        <v>490.4</v>
      </c>
      <c r="O24" s="72">
        <v>196270.34800000003</v>
      </c>
    </row>
    <row r="25" spans="1:16" hidden="1" x14ac:dyDescent="0.25">
      <c r="A25" s="68" t="s">
        <v>274</v>
      </c>
      <c r="B25" s="68" t="s">
        <v>275</v>
      </c>
      <c r="C25" s="69" t="s">
        <v>204</v>
      </c>
      <c r="D25" s="69" t="s">
        <v>276</v>
      </c>
      <c r="E25" s="69" t="s">
        <v>215</v>
      </c>
      <c r="F25" s="70" t="s">
        <v>207</v>
      </c>
      <c r="G25" s="71">
        <v>2017</v>
      </c>
      <c r="H25" s="72">
        <v>36</v>
      </c>
      <c r="I25" s="72">
        <v>75554.339165999991</v>
      </c>
      <c r="J25" s="72">
        <v>0</v>
      </c>
      <c r="K25" s="72">
        <v>75554.339165999991</v>
      </c>
      <c r="L25" s="72">
        <v>491.25736000000001</v>
      </c>
      <c r="M25" s="72">
        <v>75063.081806000002</v>
      </c>
      <c r="N25" s="72">
        <v>0</v>
      </c>
      <c r="O25" s="72">
        <v>75505.874536000003</v>
      </c>
    </row>
    <row r="26" spans="1:16" hidden="1" x14ac:dyDescent="0.25">
      <c r="A26" s="68" t="s">
        <v>277</v>
      </c>
      <c r="B26" s="68" t="s">
        <v>278</v>
      </c>
      <c r="C26" s="69" t="s">
        <v>204</v>
      </c>
      <c r="D26" s="69" t="s">
        <v>279</v>
      </c>
      <c r="E26" s="69" t="s">
        <v>229</v>
      </c>
      <c r="F26" s="70" t="s">
        <v>207</v>
      </c>
      <c r="G26" s="71">
        <v>2017</v>
      </c>
      <c r="H26" s="72">
        <v>5.2</v>
      </c>
      <c r="I26" s="72">
        <v>7216.95</v>
      </c>
      <c r="J26" s="72">
        <v>0</v>
      </c>
      <c r="K26" s="72">
        <v>7216.95</v>
      </c>
      <c r="L26" s="72">
        <v>69.921999999999997</v>
      </c>
      <c r="M26" s="72">
        <v>7147.0280000000012</v>
      </c>
      <c r="N26" s="72">
        <v>0</v>
      </c>
      <c r="O26" s="72">
        <v>7147.0280000000012</v>
      </c>
    </row>
    <row r="27" spans="1:16" hidden="1" x14ac:dyDescent="0.25">
      <c r="A27" s="68" t="s">
        <v>280</v>
      </c>
      <c r="B27" s="68" t="s">
        <v>281</v>
      </c>
      <c r="C27" s="69" t="s">
        <v>204</v>
      </c>
      <c r="D27" s="69" t="s">
        <v>282</v>
      </c>
      <c r="E27" s="69" t="s">
        <v>283</v>
      </c>
      <c r="F27" s="70" t="s">
        <v>207</v>
      </c>
      <c r="G27" s="71">
        <v>2017</v>
      </c>
      <c r="H27" s="72">
        <v>335</v>
      </c>
      <c r="I27" s="72">
        <v>43306.899999999994</v>
      </c>
      <c r="J27" s="72">
        <v>587.47</v>
      </c>
      <c r="K27" s="72">
        <v>42719.43</v>
      </c>
      <c r="L27" s="72">
        <v>6742.5099999999993</v>
      </c>
      <c r="M27" s="72">
        <v>42719.43</v>
      </c>
      <c r="N27" s="72">
        <v>0</v>
      </c>
      <c r="O27" s="72">
        <v>42719.43</v>
      </c>
      <c r="P27" s="61">
        <f>O27/(H27*8760)</f>
        <v>1.4557156000817828E-2</v>
      </c>
    </row>
    <row r="28" spans="1:16" hidden="1" x14ac:dyDescent="0.25">
      <c r="A28" s="68" t="s">
        <v>284</v>
      </c>
      <c r="B28" s="68" t="s">
        <v>285</v>
      </c>
      <c r="C28" s="69" t="s">
        <v>204</v>
      </c>
      <c r="D28" s="69" t="s">
        <v>286</v>
      </c>
      <c r="E28" s="69" t="s">
        <v>229</v>
      </c>
      <c r="F28" s="70" t="s">
        <v>207</v>
      </c>
      <c r="G28" s="71">
        <v>2017</v>
      </c>
      <c r="H28" s="72">
        <v>100</v>
      </c>
      <c r="I28" s="72">
        <v>296719.63199999998</v>
      </c>
      <c r="J28" s="72">
        <v>0</v>
      </c>
      <c r="K28" s="72">
        <v>296719.63199999998</v>
      </c>
      <c r="L28" s="72">
        <v>316.39980822999996</v>
      </c>
      <c r="M28" s="72">
        <v>290192.866645</v>
      </c>
      <c r="N28" s="72">
        <v>316.39980822999996</v>
      </c>
      <c r="O28" s="72">
        <v>290192.866645</v>
      </c>
    </row>
    <row r="29" spans="1:16" hidden="1" x14ac:dyDescent="0.25">
      <c r="A29" s="68" t="s">
        <v>287</v>
      </c>
      <c r="B29" s="68" t="s">
        <v>288</v>
      </c>
      <c r="C29" s="69" t="s">
        <v>204</v>
      </c>
      <c r="D29" s="69" t="s">
        <v>289</v>
      </c>
      <c r="E29" s="69" t="s">
        <v>215</v>
      </c>
      <c r="F29" s="70" t="s">
        <v>207</v>
      </c>
      <c r="G29" s="71">
        <v>2017</v>
      </c>
      <c r="H29" s="72">
        <v>75</v>
      </c>
      <c r="I29" s="72">
        <v>152987.158933</v>
      </c>
      <c r="J29" s="72">
        <v>0</v>
      </c>
      <c r="K29" s="72">
        <v>152987.158933</v>
      </c>
      <c r="L29" s="72">
        <v>1064.9769999999999</v>
      </c>
      <c r="M29" s="72">
        <v>151922.18193300001</v>
      </c>
      <c r="N29" s="72">
        <v>0</v>
      </c>
      <c r="O29" s="72">
        <v>151922.18193300001</v>
      </c>
    </row>
    <row r="30" spans="1:16" hidden="1" x14ac:dyDescent="0.25">
      <c r="A30" s="68" t="s">
        <v>290</v>
      </c>
      <c r="B30" s="68" t="s">
        <v>291</v>
      </c>
      <c r="C30" s="69" t="s">
        <v>204</v>
      </c>
      <c r="D30" s="69" t="s">
        <v>292</v>
      </c>
      <c r="E30" s="69" t="s">
        <v>229</v>
      </c>
      <c r="F30" s="70" t="s">
        <v>207</v>
      </c>
      <c r="G30" s="71">
        <v>2017</v>
      </c>
      <c r="H30" s="72">
        <v>1.8</v>
      </c>
      <c r="I30" s="72">
        <v>5525.45</v>
      </c>
      <c r="J30" s="72">
        <v>0</v>
      </c>
      <c r="K30" s="72">
        <v>5525.45</v>
      </c>
      <c r="L30" s="72">
        <v>0</v>
      </c>
      <c r="M30" s="72">
        <v>5525.45</v>
      </c>
      <c r="N30" s="72">
        <v>0</v>
      </c>
      <c r="O30" s="72">
        <v>5525.45</v>
      </c>
    </row>
    <row r="31" spans="1:16" hidden="1" x14ac:dyDescent="0.25">
      <c r="A31" s="68" t="s">
        <v>293</v>
      </c>
      <c r="B31" s="68" t="s">
        <v>294</v>
      </c>
      <c r="C31" s="69" t="s">
        <v>204</v>
      </c>
      <c r="D31" s="69" t="s">
        <v>295</v>
      </c>
      <c r="E31" s="69" t="s">
        <v>296</v>
      </c>
      <c r="F31" s="70" t="s">
        <v>207</v>
      </c>
      <c r="G31" s="71">
        <v>2017</v>
      </c>
      <c r="H31" s="72">
        <v>3</v>
      </c>
      <c r="I31" s="72">
        <v>27959.786</v>
      </c>
      <c r="J31" s="72">
        <v>0</v>
      </c>
      <c r="K31" s="72">
        <v>27959.786</v>
      </c>
      <c r="L31" s="72">
        <v>0</v>
      </c>
      <c r="M31" s="72">
        <v>27959.786</v>
      </c>
      <c r="N31" s="72">
        <v>0</v>
      </c>
      <c r="O31" s="72">
        <v>27959.786</v>
      </c>
    </row>
    <row r="32" spans="1:16" hidden="1" x14ac:dyDescent="0.25">
      <c r="A32" s="68" t="s">
        <v>293</v>
      </c>
      <c r="B32" s="68" t="s">
        <v>294</v>
      </c>
      <c r="C32" s="69" t="s">
        <v>204</v>
      </c>
      <c r="D32" s="69" t="s">
        <v>297</v>
      </c>
      <c r="E32" s="69" t="s">
        <v>296</v>
      </c>
      <c r="F32" s="70" t="s">
        <v>207</v>
      </c>
      <c r="G32" s="71">
        <v>2017</v>
      </c>
      <c r="H32" s="72">
        <v>5</v>
      </c>
      <c r="I32" s="72">
        <v>3111.2780000000002</v>
      </c>
      <c r="J32" s="72">
        <v>0</v>
      </c>
      <c r="K32" s="72">
        <v>3111.2780000000002</v>
      </c>
      <c r="L32" s="72">
        <v>0</v>
      </c>
      <c r="M32" s="72">
        <v>3111.2780000000002</v>
      </c>
      <c r="N32" s="72">
        <v>0</v>
      </c>
      <c r="O32" s="72">
        <v>3111.2780000000002</v>
      </c>
    </row>
    <row r="33" spans="1:16" hidden="1" x14ac:dyDescent="0.25">
      <c r="A33" s="68" t="s">
        <v>298</v>
      </c>
      <c r="B33" s="68" t="s">
        <v>299</v>
      </c>
      <c r="C33" s="69" t="s">
        <v>204</v>
      </c>
      <c r="D33" s="69" t="s">
        <v>300</v>
      </c>
      <c r="E33" s="69" t="s">
        <v>215</v>
      </c>
      <c r="F33" s="70" t="s">
        <v>207</v>
      </c>
      <c r="G33" s="71">
        <v>2017</v>
      </c>
      <c r="H33" s="72">
        <v>28</v>
      </c>
      <c r="I33" s="72">
        <v>59418.6</v>
      </c>
      <c r="J33" s="72">
        <v>0</v>
      </c>
      <c r="K33" s="72">
        <v>59418.6</v>
      </c>
      <c r="L33" s="72">
        <v>641.43089677087778</v>
      </c>
      <c r="M33" s="72">
        <v>58777.169103229113</v>
      </c>
      <c r="N33" s="72">
        <v>0</v>
      </c>
      <c r="O33" s="72">
        <v>58777.169103229113</v>
      </c>
    </row>
    <row r="34" spans="1:16" hidden="1" x14ac:dyDescent="0.25">
      <c r="A34" s="68" t="s">
        <v>301</v>
      </c>
      <c r="B34" s="68" t="s">
        <v>302</v>
      </c>
      <c r="C34" s="69" t="s">
        <v>303</v>
      </c>
      <c r="D34" s="69" t="s">
        <v>304</v>
      </c>
      <c r="E34" s="69" t="s">
        <v>225</v>
      </c>
      <c r="F34" s="70" t="s">
        <v>207</v>
      </c>
      <c r="G34" s="71">
        <v>2017</v>
      </c>
      <c r="H34" s="72">
        <v>1980</v>
      </c>
      <c r="I34" s="72">
        <v>10777095.550000001</v>
      </c>
      <c r="J34" s="72">
        <v>810378.11</v>
      </c>
      <c r="K34" s="72">
        <v>9966717.4399999995</v>
      </c>
      <c r="L34" s="72">
        <v>0</v>
      </c>
      <c r="M34" s="72">
        <v>9966717.4399999995</v>
      </c>
      <c r="N34" s="72">
        <v>0</v>
      </c>
      <c r="O34" s="72">
        <v>9966717.4399999995</v>
      </c>
    </row>
    <row r="35" spans="1:16" hidden="1" x14ac:dyDescent="0.25">
      <c r="A35" s="68" t="s">
        <v>301</v>
      </c>
      <c r="B35" s="68" t="s">
        <v>302</v>
      </c>
      <c r="C35" s="69" t="s">
        <v>303</v>
      </c>
      <c r="D35" s="69" t="s">
        <v>305</v>
      </c>
      <c r="E35" s="69" t="s">
        <v>225</v>
      </c>
      <c r="F35" s="70" t="s">
        <v>207</v>
      </c>
      <c r="G35" s="71">
        <v>2017</v>
      </c>
      <c r="H35" s="72">
        <v>1520</v>
      </c>
      <c r="I35" s="72">
        <v>7087587.944835999</v>
      </c>
      <c r="J35" s="72">
        <v>428921.55483599973</v>
      </c>
      <c r="K35" s="72">
        <v>6658666.3899999987</v>
      </c>
      <c r="L35" s="72">
        <v>0</v>
      </c>
      <c r="M35" s="72">
        <v>6658666.3899999987</v>
      </c>
      <c r="N35" s="72">
        <v>0</v>
      </c>
      <c r="O35" s="72">
        <v>6658666.3899999987</v>
      </c>
    </row>
    <row r="36" spans="1:16" hidden="1" x14ac:dyDescent="0.25">
      <c r="A36" s="68" t="s">
        <v>301</v>
      </c>
      <c r="B36" s="68" t="s">
        <v>302</v>
      </c>
      <c r="C36" s="69" t="s">
        <v>303</v>
      </c>
      <c r="D36" s="69" t="s">
        <v>306</v>
      </c>
      <c r="E36" s="69" t="s">
        <v>225</v>
      </c>
      <c r="F36" s="70" t="s">
        <v>207</v>
      </c>
      <c r="G36" s="71">
        <v>2017</v>
      </c>
      <c r="H36" s="72">
        <v>3450</v>
      </c>
      <c r="I36" s="72">
        <v>16256927.938000001</v>
      </c>
      <c r="J36" s="72">
        <v>1225846.0179999999</v>
      </c>
      <c r="K36" s="72">
        <v>15031081.919999998</v>
      </c>
      <c r="L36" s="72">
        <v>0</v>
      </c>
      <c r="M36" s="72">
        <v>15031081.919999998</v>
      </c>
      <c r="N36" s="72">
        <v>0</v>
      </c>
      <c r="O36" s="72">
        <v>15031081.919999998</v>
      </c>
    </row>
    <row r="37" spans="1:16" hidden="1" x14ac:dyDescent="0.25">
      <c r="A37" s="68" t="s">
        <v>301</v>
      </c>
      <c r="B37" s="68" t="s">
        <v>302</v>
      </c>
      <c r="C37" s="69" t="s">
        <v>303</v>
      </c>
      <c r="D37" s="69" t="s">
        <v>307</v>
      </c>
      <c r="E37" s="69" t="s">
        <v>225</v>
      </c>
      <c r="F37" s="70" t="s">
        <v>207</v>
      </c>
      <c r="G37" s="71">
        <v>2017</v>
      </c>
      <c r="H37" s="72">
        <v>1130</v>
      </c>
      <c r="I37" s="72">
        <v>3846835.5040300004</v>
      </c>
      <c r="J37" s="72">
        <v>325178.63403000002</v>
      </c>
      <c r="K37" s="72">
        <v>3521656.8700000006</v>
      </c>
      <c r="L37" s="72">
        <v>0</v>
      </c>
      <c r="M37" s="72">
        <v>3521656.8700000006</v>
      </c>
      <c r="N37" s="72">
        <v>0</v>
      </c>
      <c r="O37" s="72">
        <v>3521656.8700000006</v>
      </c>
    </row>
    <row r="38" spans="1:16" hidden="1" x14ac:dyDescent="0.25">
      <c r="A38" s="68" t="s">
        <v>301</v>
      </c>
      <c r="B38" s="68" t="s">
        <v>302</v>
      </c>
      <c r="C38" s="69" t="s">
        <v>303</v>
      </c>
      <c r="D38" s="69" t="s">
        <v>308</v>
      </c>
      <c r="E38" s="69" t="s">
        <v>225</v>
      </c>
      <c r="F38" s="70" t="s">
        <v>207</v>
      </c>
      <c r="G38" s="71">
        <v>2017</v>
      </c>
      <c r="H38" s="72">
        <v>1900</v>
      </c>
      <c r="I38" s="72">
        <v>8277542.527999999</v>
      </c>
      <c r="J38" s="72">
        <v>623045.46799999988</v>
      </c>
      <c r="K38" s="72">
        <v>7654497.0599999996</v>
      </c>
      <c r="L38" s="72">
        <v>0</v>
      </c>
      <c r="M38" s="72">
        <v>7654497.0599999996</v>
      </c>
      <c r="N38" s="72">
        <v>0</v>
      </c>
      <c r="O38" s="72">
        <v>7654497.0599999996</v>
      </c>
    </row>
    <row r="39" spans="1:16" hidden="1" x14ac:dyDescent="0.25">
      <c r="A39" s="68" t="s">
        <v>301</v>
      </c>
      <c r="B39" s="68" t="s">
        <v>302</v>
      </c>
      <c r="C39" s="69" t="s">
        <v>303</v>
      </c>
      <c r="D39" s="69" t="s">
        <v>309</v>
      </c>
      <c r="E39" s="69" t="s">
        <v>225</v>
      </c>
      <c r="F39" s="70" t="s">
        <v>207</v>
      </c>
      <c r="G39" s="71">
        <v>2017</v>
      </c>
      <c r="H39" s="72">
        <v>3840</v>
      </c>
      <c r="I39" s="72">
        <v>27372940.41</v>
      </c>
      <c r="J39" s="72">
        <v>2100668.4999999995</v>
      </c>
      <c r="K39" s="72">
        <v>25272271.91</v>
      </c>
      <c r="L39" s="72">
        <v>0</v>
      </c>
      <c r="M39" s="72">
        <v>25272271.91</v>
      </c>
      <c r="N39" s="72">
        <v>0</v>
      </c>
      <c r="O39" s="72">
        <v>25272271.91</v>
      </c>
    </row>
    <row r="40" spans="1:16" hidden="1" x14ac:dyDescent="0.25">
      <c r="A40" s="68" t="s">
        <v>301</v>
      </c>
      <c r="B40" s="68" t="s">
        <v>302</v>
      </c>
      <c r="C40" s="69" t="s">
        <v>303</v>
      </c>
      <c r="D40" s="69" t="s">
        <v>310</v>
      </c>
      <c r="E40" s="69" t="s">
        <v>225</v>
      </c>
      <c r="F40" s="70" t="s">
        <v>207</v>
      </c>
      <c r="G40" s="71">
        <v>2017</v>
      </c>
      <c r="H40" s="72">
        <v>1000</v>
      </c>
      <c r="I40" s="72">
        <v>2598873.14</v>
      </c>
      <c r="J40" s="72">
        <v>180096.81</v>
      </c>
      <c r="K40" s="72">
        <v>2418776.33</v>
      </c>
      <c r="L40" s="72">
        <v>0</v>
      </c>
      <c r="M40" s="72">
        <v>2418776.33</v>
      </c>
      <c r="N40" s="72">
        <v>0</v>
      </c>
      <c r="O40" s="72">
        <v>2418776.33</v>
      </c>
    </row>
    <row r="41" spans="1:16" hidden="1" x14ac:dyDescent="0.25">
      <c r="A41" s="68" t="s">
        <v>301</v>
      </c>
      <c r="B41" s="68" t="s">
        <v>302</v>
      </c>
      <c r="C41" s="69" t="s">
        <v>303</v>
      </c>
      <c r="D41" s="69" t="s">
        <v>311</v>
      </c>
      <c r="E41" s="69" t="s">
        <v>225</v>
      </c>
      <c r="F41" s="70" t="s">
        <v>207</v>
      </c>
      <c r="G41" s="71">
        <v>2017</v>
      </c>
      <c r="H41" s="72">
        <v>2850</v>
      </c>
      <c r="I41" s="72">
        <v>13638662.549999999</v>
      </c>
      <c r="J41" s="72">
        <v>1129382.9699999995</v>
      </c>
      <c r="K41" s="72">
        <v>12509279.580000002</v>
      </c>
      <c r="L41" s="72">
        <v>0</v>
      </c>
      <c r="M41" s="72">
        <v>12509279.580000002</v>
      </c>
      <c r="N41" s="72">
        <v>0</v>
      </c>
      <c r="O41" s="72">
        <v>12509279.580000002</v>
      </c>
    </row>
    <row r="42" spans="1:16" hidden="1" x14ac:dyDescent="0.25">
      <c r="A42" s="68" t="s">
        <v>301</v>
      </c>
      <c r="B42" s="68" t="s">
        <v>302</v>
      </c>
      <c r="C42" s="69" t="s">
        <v>303</v>
      </c>
      <c r="D42" s="69" t="s">
        <v>312</v>
      </c>
      <c r="E42" s="69" t="s">
        <v>225</v>
      </c>
      <c r="F42" s="70" t="s">
        <v>207</v>
      </c>
      <c r="G42" s="71">
        <v>2017</v>
      </c>
      <c r="H42" s="72">
        <v>3558</v>
      </c>
      <c r="I42" s="72">
        <v>21228523.099999998</v>
      </c>
      <c r="J42" s="72">
        <v>1206633.0999999996</v>
      </c>
      <c r="K42" s="72">
        <v>20021890</v>
      </c>
      <c r="L42" s="72">
        <v>0</v>
      </c>
      <c r="M42" s="72">
        <v>20021890</v>
      </c>
      <c r="N42" s="72">
        <v>0</v>
      </c>
      <c r="O42" s="72">
        <v>20021890</v>
      </c>
    </row>
    <row r="43" spans="1:16" hidden="1" x14ac:dyDescent="0.25">
      <c r="A43" s="68" t="s">
        <v>301</v>
      </c>
      <c r="B43" s="68" t="s">
        <v>302</v>
      </c>
      <c r="C43" s="69" t="s">
        <v>303</v>
      </c>
      <c r="D43" s="69" t="s">
        <v>313</v>
      </c>
      <c r="E43" s="69" t="s">
        <v>225</v>
      </c>
      <c r="F43" s="70" t="s">
        <v>207</v>
      </c>
      <c r="G43" s="71">
        <v>2017</v>
      </c>
      <c r="H43" s="72">
        <v>3843</v>
      </c>
      <c r="I43" s="72">
        <v>25417656.995000001</v>
      </c>
      <c r="J43" s="72">
        <v>2050102.3549999997</v>
      </c>
      <c r="K43" s="72">
        <v>23367554.640000001</v>
      </c>
      <c r="L43" s="72">
        <v>0</v>
      </c>
      <c r="M43" s="72">
        <v>23367554.640000001</v>
      </c>
      <c r="N43" s="72">
        <v>0</v>
      </c>
      <c r="O43" s="72">
        <v>23367554.640000001</v>
      </c>
    </row>
    <row r="44" spans="1:16" hidden="1" x14ac:dyDescent="0.25">
      <c r="A44" s="68" t="s">
        <v>301</v>
      </c>
      <c r="B44" s="68" t="s">
        <v>302</v>
      </c>
      <c r="C44" s="69" t="s">
        <v>303</v>
      </c>
      <c r="D44" s="69" t="s">
        <v>314</v>
      </c>
      <c r="E44" s="69" t="s">
        <v>225</v>
      </c>
      <c r="F44" s="70" t="s">
        <v>207</v>
      </c>
      <c r="G44" s="71">
        <v>2017</v>
      </c>
      <c r="H44" s="72">
        <v>3690</v>
      </c>
      <c r="I44" s="72">
        <v>28259683.377299998</v>
      </c>
      <c r="J44" s="72">
        <v>2453046.6672999999</v>
      </c>
      <c r="K44" s="72">
        <v>25806636.710000001</v>
      </c>
      <c r="L44" s="72">
        <v>0</v>
      </c>
      <c r="M44" s="72">
        <v>25806636.710000001</v>
      </c>
      <c r="N44" s="72">
        <v>0</v>
      </c>
      <c r="O44" s="72">
        <v>25806636.710000001</v>
      </c>
    </row>
    <row r="45" spans="1:16" hidden="1" x14ac:dyDescent="0.25">
      <c r="A45" s="68" t="s">
        <v>301</v>
      </c>
      <c r="B45" s="68" t="s">
        <v>302</v>
      </c>
      <c r="C45" s="69" t="s">
        <v>303</v>
      </c>
      <c r="D45" s="69" t="s">
        <v>315</v>
      </c>
      <c r="E45" s="69" t="s">
        <v>225</v>
      </c>
      <c r="F45" s="70" t="s">
        <v>207</v>
      </c>
      <c r="G45" s="71">
        <v>2017</v>
      </c>
      <c r="H45" s="72">
        <v>3450</v>
      </c>
      <c r="I45" s="72">
        <v>19880712.799999997</v>
      </c>
      <c r="J45" s="72">
        <v>1176929.4099999999</v>
      </c>
      <c r="K45" s="72">
        <v>18703783.389999997</v>
      </c>
      <c r="L45" s="72">
        <v>0</v>
      </c>
      <c r="M45" s="72">
        <v>18703783.389999997</v>
      </c>
      <c r="N45" s="72">
        <v>0</v>
      </c>
      <c r="O45" s="72">
        <v>18703783.389999997</v>
      </c>
    </row>
    <row r="46" spans="1:16" hidden="1" x14ac:dyDescent="0.25">
      <c r="A46" s="68" t="s">
        <v>301</v>
      </c>
      <c r="B46" s="68" t="s">
        <v>302</v>
      </c>
      <c r="C46" s="69" t="s">
        <v>303</v>
      </c>
      <c r="D46" s="69" t="s">
        <v>316</v>
      </c>
      <c r="E46" s="69" t="s">
        <v>225</v>
      </c>
      <c r="F46" s="70" t="s">
        <v>207</v>
      </c>
      <c r="G46" s="71">
        <v>2017</v>
      </c>
      <c r="H46" s="72">
        <v>3510</v>
      </c>
      <c r="I46" s="72">
        <v>17601379.504806001</v>
      </c>
      <c r="J46" s="72">
        <v>1128053.7048060005</v>
      </c>
      <c r="K46" s="72">
        <v>16473325.799999999</v>
      </c>
      <c r="L46" s="72">
        <v>0</v>
      </c>
      <c r="M46" s="72">
        <v>16473325.799999999</v>
      </c>
      <c r="N46" s="72">
        <v>0</v>
      </c>
      <c r="O46" s="72">
        <v>16473325.799999999</v>
      </c>
    </row>
    <row r="47" spans="1:16" hidden="1" x14ac:dyDescent="0.25">
      <c r="A47" s="68" t="s">
        <v>301</v>
      </c>
      <c r="B47" s="68" t="s">
        <v>302</v>
      </c>
      <c r="C47" s="69" t="s">
        <v>303</v>
      </c>
      <c r="D47" s="69" t="s">
        <v>317</v>
      </c>
      <c r="E47" s="69" t="s">
        <v>283</v>
      </c>
      <c r="F47" s="70" t="s">
        <v>207</v>
      </c>
      <c r="G47" s="71">
        <v>2017</v>
      </c>
      <c r="H47" s="72">
        <v>171</v>
      </c>
      <c r="I47" s="72">
        <v>77</v>
      </c>
      <c r="J47" s="72">
        <v>4</v>
      </c>
      <c r="K47" s="72">
        <v>73</v>
      </c>
      <c r="L47" s="72">
        <v>0</v>
      </c>
      <c r="M47" s="72">
        <v>73</v>
      </c>
      <c r="N47" s="72">
        <v>0</v>
      </c>
      <c r="O47" s="72">
        <v>73</v>
      </c>
      <c r="P47" s="61">
        <f>O47/(H47*8760)</f>
        <v>4.8732943469785574E-5</v>
      </c>
    </row>
    <row r="48" spans="1:16" hidden="1" x14ac:dyDescent="0.25">
      <c r="A48" s="68" t="s">
        <v>301</v>
      </c>
      <c r="B48" s="68" t="s">
        <v>302</v>
      </c>
      <c r="C48" s="69" t="s">
        <v>303</v>
      </c>
      <c r="D48" s="69" t="s">
        <v>318</v>
      </c>
      <c r="E48" s="69" t="s">
        <v>283</v>
      </c>
      <c r="F48" s="70" t="s">
        <v>207</v>
      </c>
      <c r="G48" s="71">
        <v>2017</v>
      </c>
      <c r="H48" s="72">
        <v>588</v>
      </c>
      <c r="I48" s="72">
        <v>22514.229200000002</v>
      </c>
      <c r="J48" s="72">
        <v>64.229199999999963</v>
      </c>
      <c r="K48" s="72">
        <v>22450</v>
      </c>
      <c r="L48" s="72">
        <v>0</v>
      </c>
      <c r="M48" s="72">
        <v>22450</v>
      </c>
      <c r="N48" s="72">
        <v>0</v>
      </c>
      <c r="O48" s="72">
        <v>22450</v>
      </c>
      <c r="P48" s="61">
        <f>O48/(H48*8760)</f>
        <v>4.3584785512378469E-3</v>
      </c>
    </row>
    <row r="49" spans="1:16" hidden="1" x14ac:dyDescent="0.25">
      <c r="A49" s="68" t="s">
        <v>301</v>
      </c>
      <c r="B49" s="68" t="s">
        <v>302</v>
      </c>
      <c r="C49" s="69" t="s">
        <v>303</v>
      </c>
      <c r="D49" s="69" t="s">
        <v>319</v>
      </c>
      <c r="E49" s="69" t="s">
        <v>283</v>
      </c>
      <c r="F49" s="70" t="s">
        <v>207</v>
      </c>
      <c r="G49" s="71">
        <v>2017</v>
      </c>
      <c r="H49" s="72">
        <v>438</v>
      </c>
      <c r="I49" s="72">
        <v>16326.9601</v>
      </c>
      <c r="J49" s="72">
        <v>264.32009999999963</v>
      </c>
      <c r="K49" s="72">
        <v>16062.64</v>
      </c>
      <c r="L49" s="72">
        <v>0</v>
      </c>
      <c r="M49" s="72">
        <v>16062.64</v>
      </c>
      <c r="N49" s="72">
        <v>0</v>
      </c>
      <c r="O49" s="72">
        <v>16062.64</v>
      </c>
      <c r="P49" s="61">
        <f>O49/(H49*8760)</f>
        <v>4.1863806009049013E-3</v>
      </c>
    </row>
    <row r="50" spans="1:16" hidden="1" x14ac:dyDescent="0.25">
      <c r="A50" s="68" t="s">
        <v>301</v>
      </c>
      <c r="B50" s="68" t="s">
        <v>302</v>
      </c>
      <c r="C50" s="69" t="s">
        <v>303</v>
      </c>
      <c r="D50" s="69" t="s">
        <v>320</v>
      </c>
      <c r="E50" s="69" t="s">
        <v>283</v>
      </c>
      <c r="F50" s="70" t="s">
        <v>207</v>
      </c>
      <c r="G50" s="71">
        <v>2017</v>
      </c>
      <c r="H50" s="72">
        <v>171</v>
      </c>
      <c r="I50" s="72">
        <v>65</v>
      </c>
      <c r="J50" s="72">
        <v>0</v>
      </c>
      <c r="K50" s="72">
        <v>65</v>
      </c>
      <c r="L50" s="72">
        <v>0</v>
      </c>
      <c r="M50" s="72">
        <v>65</v>
      </c>
      <c r="N50" s="72">
        <v>0</v>
      </c>
      <c r="O50" s="72">
        <v>65</v>
      </c>
      <c r="P50" s="61">
        <f>O50/(H50*8760)</f>
        <v>4.3392346925151537E-5</v>
      </c>
    </row>
    <row r="51" spans="1:16" hidden="1" x14ac:dyDescent="0.25">
      <c r="A51" s="68" t="s">
        <v>301</v>
      </c>
      <c r="B51" s="68" t="s">
        <v>302</v>
      </c>
      <c r="C51" s="69" t="s">
        <v>303</v>
      </c>
      <c r="D51" s="69" t="s">
        <v>321</v>
      </c>
      <c r="E51" s="69" t="s">
        <v>242</v>
      </c>
      <c r="F51" s="70" t="s">
        <v>207</v>
      </c>
      <c r="G51" s="71">
        <v>2017</v>
      </c>
      <c r="H51" s="72">
        <v>360</v>
      </c>
      <c r="I51" s="72">
        <v>342073</v>
      </c>
      <c r="J51" s="72">
        <v>371.8399999999956</v>
      </c>
      <c r="K51" s="72">
        <v>341701.16000000003</v>
      </c>
      <c r="L51" s="72">
        <v>0</v>
      </c>
      <c r="M51" s="72">
        <v>341701.16000000003</v>
      </c>
      <c r="N51" s="72">
        <v>0</v>
      </c>
      <c r="O51" s="72">
        <v>341701.16000000003</v>
      </c>
    </row>
    <row r="52" spans="1:16" hidden="1" x14ac:dyDescent="0.25">
      <c r="A52" s="68" t="s">
        <v>301</v>
      </c>
      <c r="B52" s="68" t="s">
        <v>302</v>
      </c>
      <c r="C52" s="69" t="s">
        <v>303</v>
      </c>
      <c r="D52" s="69" t="s">
        <v>322</v>
      </c>
      <c r="E52" s="69" t="s">
        <v>242</v>
      </c>
      <c r="F52" s="70" t="s">
        <v>207</v>
      </c>
      <c r="G52" s="71">
        <v>2017</v>
      </c>
      <c r="H52" s="72">
        <v>240</v>
      </c>
      <c r="I52" s="72">
        <v>351159</v>
      </c>
      <c r="J52" s="72">
        <v>2565.7999999999993</v>
      </c>
      <c r="K52" s="72">
        <v>348593.2</v>
      </c>
      <c r="L52" s="72">
        <v>0</v>
      </c>
      <c r="M52" s="72">
        <v>348593.2</v>
      </c>
      <c r="N52" s="72">
        <v>0</v>
      </c>
      <c r="O52" s="72">
        <v>348593.2</v>
      </c>
    </row>
    <row r="53" spans="1:16" hidden="1" x14ac:dyDescent="0.25">
      <c r="A53" s="68" t="s">
        <v>301</v>
      </c>
      <c r="B53" s="68" t="s">
        <v>302</v>
      </c>
      <c r="C53" s="69" t="s">
        <v>303</v>
      </c>
      <c r="D53" s="69" t="s">
        <v>323</v>
      </c>
      <c r="E53" s="69" t="s">
        <v>324</v>
      </c>
      <c r="F53" s="70" t="s">
        <v>207</v>
      </c>
      <c r="G53" s="71">
        <v>2017</v>
      </c>
      <c r="H53" s="72">
        <v>1870</v>
      </c>
      <c r="I53" s="72">
        <v>15743187</v>
      </c>
      <c r="J53" s="72">
        <v>656303</v>
      </c>
      <c r="K53" s="72">
        <v>15086884</v>
      </c>
      <c r="L53" s="72">
        <v>0</v>
      </c>
      <c r="M53" s="72">
        <v>15086884</v>
      </c>
      <c r="N53" s="72">
        <v>0</v>
      </c>
      <c r="O53" s="72">
        <v>15086884</v>
      </c>
    </row>
    <row r="54" spans="1:16" hidden="1" x14ac:dyDescent="0.25">
      <c r="A54" s="68" t="s">
        <v>301</v>
      </c>
      <c r="B54" s="68" t="s">
        <v>302</v>
      </c>
      <c r="C54" s="69" t="s">
        <v>303</v>
      </c>
      <c r="D54" s="69" t="s">
        <v>325</v>
      </c>
      <c r="E54" s="69" t="s">
        <v>260</v>
      </c>
      <c r="F54" s="70" t="s">
        <v>207</v>
      </c>
      <c r="G54" s="71">
        <v>2017</v>
      </c>
      <c r="H54" s="72">
        <v>1000</v>
      </c>
      <c r="I54" s="72">
        <v>1478450</v>
      </c>
      <c r="J54" s="72">
        <v>4462.9600000000064</v>
      </c>
      <c r="K54" s="72">
        <v>1473987.04</v>
      </c>
      <c r="L54" s="72">
        <v>2359516.86</v>
      </c>
      <c r="M54" s="72">
        <v>-885529.82000000007</v>
      </c>
      <c r="N54" s="72">
        <v>0</v>
      </c>
      <c r="O54" s="72">
        <v>-885529.82000000007</v>
      </c>
    </row>
    <row r="55" spans="1:16" hidden="1" x14ac:dyDescent="0.25">
      <c r="A55" s="68" t="s">
        <v>301</v>
      </c>
      <c r="B55" s="68" t="s">
        <v>302</v>
      </c>
      <c r="C55" s="69" t="s">
        <v>303</v>
      </c>
      <c r="D55" s="69" t="s">
        <v>326</v>
      </c>
      <c r="E55" s="69" t="s">
        <v>260</v>
      </c>
      <c r="F55" s="70" t="s">
        <v>207</v>
      </c>
      <c r="G55" s="71">
        <v>2017</v>
      </c>
      <c r="H55" s="72">
        <v>400</v>
      </c>
      <c r="I55" s="72">
        <v>589957</v>
      </c>
      <c r="J55" s="72">
        <v>494.97000000001572</v>
      </c>
      <c r="K55" s="72">
        <v>589462.03</v>
      </c>
      <c r="L55" s="72">
        <v>776185.54</v>
      </c>
      <c r="M55" s="72">
        <v>-186723.51</v>
      </c>
      <c r="N55" s="72">
        <v>0</v>
      </c>
      <c r="O55" s="72">
        <v>-186723.51</v>
      </c>
    </row>
    <row r="56" spans="1:16" hidden="1" x14ac:dyDescent="0.25">
      <c r="A56" s="68" t="s">
        <v>301</v>
      </c>
      <c r="B56" s="68" t="s">
        <v>302</v>
      </c>
      <c r="C56" s="69" t="s">
        <v>303</v>
      </c>
      <c r="D56" s="69" t="s">
        <v>327</v>
      </c>
      <c r="E56" s="69" t="s">
        <v>242</v>
      </c>
      <c r="F56" s="70" t="s">
        <v>207</v>
      </c>
      <c r="G56" s="71">
        <v>2017</v>
      </c>
      <c r="H56" s="72">
        <v>2.1</v>
      </c>
      <c r="I56" s="72">
        <v>1739.5432999999996</v>
      </c>
      <c r="J56" s="72">
        <v>0</v>
      </c>
      <c r="K56" s="72">
        <v>1739.5432999999996</v>
      </c>
      <c r="L56" s="72">
        <v>0</v>
      </c>
      <c r="M56" s="72">
        <v>1739.5432999999996</v>
      </c>
      <c r="N56" s="72">
        <v>0</v>
      </c>
      <c r="O56" s="72">
        <v>1739.5432999999996</v>
      </c>
    </row>
    <row r="57" spans="1:16" hidden="1" x14ac:dyDescent="0.25">
      <c r="A57" s="68" t="s">
        <v>301</v>
      </c>
      <c r="B57" s="68" t="s">
        <v>302</v>
      </c>
      <c r="C57" s="69" t="s">
        <v>303</v>
      </c>
      <c r="D57" s="69" t="s">
        <v>328</v>
      </c>
      <c r="E57" s="69" t="s">
        <v>242</v>
      </c>
      <c r="F57" s="70" t="s">
        <v>207</v>
      </c>
      <c r="G57" s="71">
        <v>2017</v>
      </c>
      <c r="H57" s="72">
        <v>42</v>
      </c>
      <c r="I57" s="72">
        <v>9291.2019</v>
      </c>
      <c r="J57" s="72">
        <v>0</v>
      </c>
      <c r="K57" s="72">
        <v>9291.2019</v>
      </c>
      <c r="L57" s="72">
        <v>0</v>
      </c>
      <c r="M57" s="72">
        <v>9291.2019</v>
      </c>
      <c r="N57" s="72">
        <v>0</v>
      </c>
      <c r="O57" s="72">
        <v>9291.2019</v>
      </c>
    </row>
    <row r="58" spans="1:16" hidden="1" x14ac:dyDescent="0.25">
      <c r="A58" s="68" t="s">
        <v>301</v>
      </c>
      <c r="B58" s="68" t="s">
        <v>302</v>
      </c>
      <c r="C58" s="69" t="s">
        <v>303</v>
      </c>
      <c r="D58" s="69" t="s">
        <v>329</v>
      </c>
      <c r="E58" s="69" t="s">
        <v>242</v>
      </c>
      <c r="F58" s="70" t="s">
        <v>207</v>
      </c>
      <c r="G58" s="71">
        <v>2017</v>
      </c>
      <c r="H58" s="72">
        <v>6</v>
      </c>
      <c r="I58" s="72">
        <v>0</v>
      </c>
      <c r="J58" s="72">
        <v>0</v>
      </c>
      <c r="K58" s="72">
        <v>0</v>
      </c>
      <c r="L58" s="72">
        <v>0</v>
      </c>
      <c r="M58" s="72">
        <v>0</v>
      </c>
      <c r="N58" s="72">
        <v>0</v>
      </c>
      <c r="O58" s="72">
        <v>0</v>
      </c>
    </row>
    <row r="59" spans="1:16" hidden="1" x14ac:dyDescent="0.25">
      <c r="A59" s="68" t="s">
        <v>301</v>
      </c>
      <c r="B59" s="68" t="s">
        <v>302</v>
      </c>
      <c r="C59" s="69" t="s">
        <v>303</v>
      </c>
      <c r="D59" s="69" t="s">
        <v>330</v>
      </c>
      <c r="E59" s="69" t="s">
        <v>242</v>
      </c>
      <c r="F59" s="70" t="s">
        <v>207</v>
      </c>
      <c r="G59" s="71">
        <v>2017</v>
      </c>
      <c r="H59" s="72">
        <v>11</v>
      </c>
      <c r="I59" s="72">
        <v>0</v>
      </c>
      <c r="J59" s="72">
        <v>0</v>
      </c>
      <c r="K59" s="72">
        <v>0</v>
      </c>
      <c r="L59" s="72">
        <v>0</v>
      </c>
      <c r="M59" s="72">
        <v>0</v>
      </c>
      <c r="N59" s="72">
        <v>0</v>
      </c>
      <c r="O59" s="72">
        <v>0</v>
      </c>
    </row>
    <row r="60" spans="1:16" hidden="1" x14ac:dyDescent="0.25">
      <c r="A60" s="68" t="s">
        <v>301</v>
      </c>
      <c r="B60" s="68" t="s">
        <v>302</v>
      </c>
      <c r="C60" s="69" t="s">
        <v>303</v>
      </c>
      <c r="D60" s="69" t="s">
        <v>331</v>
      </c>
      <c r="E60" s="69" t="s">
        <v>229</v>
      </c>
      <c r="F60" s="70" t="s">
        <v>207</v>
      </c>
      <c r="G60" s="71">
        <v>2017</v>
      </c>
      <c r="H60" s="72">
        <v>105.8</v>
      </c>
      <c r="I60" s="72">
        <v>342692.44500000001</v>
      </c>
      <c r="J60" s="72">
        <v>3972.1910000000016</v>
      </c>
      <c r="K60" s="72">
        <v>338720.25399999996</v>
      </c>
      <c r="L60" s="72">
        <v>656.27350000000001</v>
      </c>
      <c r="M60" s="72">
        <v>338063.98050000001</v>
      </c>
      <c r="N60" s="72">
        <v>0</v>
      </c>
      <c r="O60" s="72">
        <v>338063.98050000001</v>
      </c>
    </row>
    <row r="61" spans="1:16" hidden="1" x14ac:dyDescent="0.25">
      <c r="A61" s="68" t="s">
        <v>301</v>
      </c>
      <c r="B61" s="68" t="s">
        <v>302</v>
      </c>
      <c r="C61" s="69" t="s">
        <v>303</v>
      </c>
      <c r="D61" s="69" t="s">
        <v>332</v>
      </c>
      <c r="E61" s="69" t="s">
        <v>225</v>
      </c>
      <c r="F61" s="70" t="s">
        <v>207</v>
      </c>
      <c r="G61" s="71">
        <v>2017</v>
      </c>
      <c r="H61" s="72">
        <v>4500</v>
      </c>
      <c r="I61" s="72">
        <v>8513966.7100000009</v>
      </c>
      <c r="J61" s="72">
        <v>669305.62999999989</v>
      </c>
      <c r="K61" s="72">
        <v>7844661.0800000001</v>
      </c>
      <c r="L61" s="72">
        <v>0</v>
      </c>
      <c r="M61" s="72">
        <v>7844661.0800000001</v>
      </c>
      <c r="N61" s="72">
        <v>0</v>
      </c>
      <c r="O61" s="72">
        <v>7844661.0800000001</v>
      </c>
    </row>
    <row r="62" spans="1:16" hidden="1" x14ac:dyDescent="0.25">
      <c r="A62" s="68" t="s">
        <v>301</v>
      </c>
      <c r="B62" s="68" t="s">
        <v>302</v>
      </c>
      <c r="C62" s="69" t="s">
        <v>303</v>
      </c>
      <c r="D62" s="69" t="s">
        <v>333</v>
      </c>
      <c r="E62" s="69" t="s">
        <v>260</v>
      </c>
      <c r="F62" s="70" t="s">
        <v>207</v>
      </c>
      <c r="G62" s="71">
        <v>2017</v>
      </c>
      <c r="H62" s="72">
        <v>1332</v>
      </c>
      <c r="I62" s="72">
        <v>1982881</v>
      </c>
      <c r="J62" s="72">
        <v>55509.030000000028</v>
      </c>
      <c r="K62" s="72">
        <v>1927371.9700000002</v>
      </c>
      <c r="L62" s="72">
        <v>2409225.11</v>
      </c>
      <c r="M62" s="72">
        <v>-481853.1399999999</v>
      </c>
      <c r="N62" s="72">
        <v>0</v>
      </c>
      <c r="O62" s="72">
        <v>-481853.1399999999</v>
      </c>
    </row>
    <row r="63" spans="1:16" hidden="1" x14ac:dyDescent="0.25">
      <c r="A63" s="68" t="s">
        <v>301</v>
      </c>
      <c r="B63" s="68" t="s">
        <v>302</v>
      </c>
      <c r="C63" s="69" t="s">
        <v>303</v>
      </c>
      <c r="D63" s="69" t="s">
        <v>334</v>
      </c>
      <c r="E63" s="69" t="s">
        <v>225</v>
      </c>
      <c r="F63" s="70" t="s">
        <v>207</v>
      </c>
      <c r="G63" s="71">
        <v>2017</v>
      </c>
      <c r="H63" s="72">
        <v>4800</v>
      </c>
      <c r="I63" s="72">
        <v>1530743.41</v>
      </c>
      <c r="J63" s="72">
        <v>151144.41</v>
      </c>
      <c r="K63" s="72">
        <v>1379599</v>
      </c>
      <c r="L63" s="72">
        <v>0</v>
      </c>
      <c r="M63" s="72">
        <v>1379599</v>
      </c>
      <c r="N63" s="72">
        <v>0</v>
      </c>
      <c r="O63" s="72">
        <v>1379599</v>
      </c>
    </row>
    <row r="64" spans="1:16" hidden="1" x14ac:dyDescent="0.25">
      <c r="A64" s="68" t="s">
        <v>335</v>
      </c>
      <c r="B64" s="68" t="s">
        <v>336</v>
      </c>
      <c r="C64" s="69" t="s">
        <v>204</v>
      </c>
      <c r="D64" s="69" t="s">
        <v>337</v>
      </c>
      <c r="E64" s="69" t="s">
        <v>215</v>
      </c>
      <c r="F64" s="70" t="s">
        <v>207</v>
      </c>
      <c r="G64" s="71">
        <v>2017</v>
      </c>
      <c r="H64" s="72">
        <v>60</v>
      </c>
      <c r="I64" s="72">
        <v>121351.42499999999</v>
      </c>
      <c r="J64" s="72">
        <v>0</v>
      </c>
      <c r="K64" s="72">
        <v>121351.42499999999</v>
      </c>
      <c r="L64" s="72">
        <v>766.61900000000003</v>
      </c>
      <c r="M64" s="72">
        <v>120584.80599999997</v>
      </c>
      <c r="N64" s="72">
        <v>0</v>
      </c>
      <c r="O64" s="72">
        <v>120584.80599999997</v>
      </c>
    </row>
    <row r="65" spans="1:15" hidden="1" x14ac:dyDescent="0.25">
      <c r="A65" s="68" t="s">
        <v>338</v>
      </c>
      <c r="B65" s="68" t="s">
        <v>339</v>
      </c>
      <c r="C65" s="69" t="s">
        <v>204</v>
      </c>
      <c r="D65" s="69" t="s">
        <v>340</v>
      </c>
      <c r="E65" s="69" t="s">
        <v>215</v>
      </c>
      <c r="F65" s="70" t="s">
        <v>207</v>
      </c>
      <c r="G65" s="71">
        <v>2017</v>
      </c>
      <c r="H65" s="72">
        <v>64</v>
      </c>
      <c r="I65" s="72">
        <v>143418.74349687499</v>
      </c>
      <c r="J65" s="72">
        <v>1215.9204999999943</v>
      </c>
      <c r="K65" s="72">
        <v>142202.82150000005</v>
      </c>
      <c r="L65" s="72">
        <v>0</v>
      </c>
      <c r="M65" s="72">
        <v>142202.82150000005</v>
      </c>
      <c r="N65" s="72">
        <v>0</v>
      </c>
      <c r="O65" s="72">
        <v>142202.82150000005</v>
      </c>
    </row>
    <row r="66" spans="1:15" hidden="1" x14ac:dyDescent="0.25">
      <c r="A66" s="68" t="s">
        <v>341</v>
      </c>
      <c r="B66" s="68" t="s">
        <v>342</v>
      </c>
      <c r="C66" s="69" t="s">
        <v>204</v>
      </c>
      <c r="D66" s="69" t="s">
        <v>343</v>
      </c>
      <c r="E66" s="69" t="s">
        <v>242</v>
      </c>
      <c r="F66" s="70" t="s">
        <v>207</v>
      </c>
      <c r="G66" s="71">
        <v>2017</v>
      </c>
      <c r="H66" s="72">
        <v>2.5</v>
      </c>
      <c r="I66" s="72">
        <v>12971.923232323234</v>
      </c>
      <c r="J66" s="72">
        <v>0</v>
      </c>
      <c r="K66" s="72">
        <v>12971.923232323234</v>
      </c>
      <c r="L66" s="72">
        <v>0</v>
      </c>
      <c r="M66" s="72">
        <v>12971.923232323234</v>
      </c>
      <c r="N66" s="72">
        <v>129.71923232323232</v>
      </c>
      <c r="O66" s="72">
        <v>12842.204</v>
      </c>
    </row>
    <row r="67" spans="1:15" hidden="1" x14ac:dyDescent="0.25">
      <c r="A67" s="68" t="s">
        <v>344</v>
      </c>
      <c r="B67" s="68" t="s">
        <v>345</v>
      </c>
      <c r="C67" s="69" t="s">
        <v>204</v>
      </c>
      <c r="D67" s="69" t="s">
        <v>346</v>
      </c>
      <c r="E67" s="69" t="s">
        <v>229</v>
      </c>
      <c r="F67" s="70" t="s">
        <v>207</v>
      </c>
      <c r="G67" s="71">
        <v>2017</v>
      </c>
      <c r="H67" s="72">
        <v>111</v>
      </c>
      <c r="I67" s="72">
        <v>317019.86</v>
      </c>
      <c r="J67" s="72">
        <v>0</v>
      </c>
      <c r="K67" s="72">
        <v>317019.86</v>
      </c>
      <c r="L67" s="72">
        <v>209.87700000000001</v>
      </c>
      <c r="M67" s="72">
        <v>316809.98300000001</v>
      </c>
      <c r="N67" s="72">
        <v>0</v>
      </c>
      <c r="O67" s="72">
        <v>316809.98300000001</v>
      </c>
    </row>
    <row r="68" spans="1:15" hidden="1" x14ac:dyDescent="0.25">
      <c r="A68" s="68" t="s">
        <v>347</v>
      </c>
      <c r="B68" s="68" t="s">
        <v>348</v>
      </c>
      <c r="C68" s="69" t="s">
        <v>204</v>
      </c>
      <c r="D68" s="69" t="s">
        <v>349</v>
      </c>
      <c r="E68" s="69" t="s">
        <v>229</v>
      </c>
      <c r="F68" s="70" t="s">
        <v>207</v>
      </c>
      <c r="G68" s="71">
        <v>2017</v>
      </c>
      <c r="H68" s="72">
        <v>59.8</v>
      </c>
      <c r="I68" s="72">
        <v>171057.88753000001</v>
      </c>
      <c r="J68" s="72">
        <v>0</v>
      </c>
      <c r="K68" s="72">
        <v>171057.88753000001</v>
      </c>
      <c r="L68" s="72">
        <v>456.45399999999995</v>
      </c>
      <c r="M68" s="72">
        <v>170601.43353000004</v>
      </c>
      <c r="N68" s="72">
        <v>0</v>
      </c>
      <c r="O68" s="72">
        <v>170601.43353000004</v>
      </c>
    </row>
    <row r="69" spans="1:15" hidden="1" x14ac:dyDescent="0.25">
      <c r="A69" s="68" t="s">
        <v>350</v>
      </c>
      <c r="B69" s="68" t="s">
        <v>351</v>
      </c>
      <c r="C69" s="69" t="s">
        <v>204</v>
      </c>
      <c r="D69" s="69" t="s">
        <v>352</v>
      </c>
      <c r="E69" s="69" t="s">
        <v>353</v>
      </c>
      <c r="F69" s="70" t="s">
        <v>207</v>
      </c>
      <c r="G69" s="71">
        <v>2017</v>
      </c>
      <c r="H69" s="72">
        <v>2</v>
      </c>
      <c r="I69" s="72">
        <v>30259.700000000004</v>
      </c>
      <c r="J69" s="72">
        <v>28593.160000000003</v>
      </c>
      <c r="K69" s="72">
        <v>1666.54</v>
      </c>
      <c r="L69" s="72">
        <v>1949.5199999999995</v>
      </c>
      <c r="M69" s="72">
        <v>-282.97999999999934</v>
      </c>
      <c r="N69" s="72">
        <v>30542.68</v>
      </c>
      <c r="O69" s="72">
        <v>1666.54</v>
      </c>
    </row>
    <row r="70" spans="1:15" hidden="1" x14ac:dyDescent="0.25">
      <c r="A70" s="68" t="s">
        <v>354</v>
      </c>
      <c r="B70" s="68" t="s">
        <v>355</v>
      </c>
      <c r="C70" s="69" t="s">
        <v>204</v>
      </c>
      <c r="D70" s="69" t="s">
        <v>356</v>
      </c>
      <c r="E70" s="69" t="s">
        <v>215</v>
      </c>
      <c r="F70" s="70" t="s">
        <v>207</v>
      </c>
      <c r="G70" s="71">
        <v>2017</v>
      </c>
      <c r="H70" s="72">
        <v>75</v>
      </c>
      <c r="I70" s="72">
        <v>182730.26249999998</v>
      </c>
      <c r="J70" s="72">
        <v>0</v>
      </c>
      <c r="K70" s="72">
        <v>182730.26249999998</v>
      </c>
      <c r="L70" s="72">
        <v>934.85450000000014</v>
      </c>
      <c r="M70" s="72">
        <v>181795.408</v>
      </c>
      <c r="N70" s="72">
        <v>37.97</v>
      </c>
      <c r="O70" s="72">
        <v>181757.43800000002</v>
      </c>
    </row>
    <row r="71" spans="1:15" hidden="1" x14ac:dyDescent="0.25">
      <c r="A71" s="68" t="s">
        <v>357</v>
      </c>
      <c r="B71" s="68" t="s">
        <v>358</v>
      </c>
      <c r="C71" s="69" t="s">
        <v>204</v>
      </c>
      <c r="D71" s="69" t="s">
        <v>359</v>
      </c>
      <c r="E71" s="69" t="s">
        <v>229</v>
      </c>
      <c r="F71" s="70" t="s">
        <v>207</v>
      </c>
      <c r="G71" s="71">
        <v>2017</v>
      </c>
      <c r="H71" s="72">
        <v>133.86000000000001</v>
      </c>
      <c r="I71" s="72">
        <v>443016.79232000001</v>
      </c>
      <c r="J71" s="72">
        <v>0</v>
      </c>
      <c r="K71" s="72">
        <v>443016.79232000001</v>
      </c>
      <c r="L71" s="72">
        <v>722.31464000000005</v>
      </c>
      <c r="M71" s="72">
        <v>442294.47767999995</v>
      </c>
      <c r="N71" s="72">
        <v>0</v>
      </c>
      <c r="O71" s="72">
        <v>442294.47767999995</v>
      </c>
    </row>
    <row r="72" spans="1:15" hidden="1" x14ac:dyDescent="0.25">
      <c r="A72" s="68" t="s">
        <v>360</v>
      </c>
      <c r="B72" s="68" t="s">
        <v>361</v>
      </c>
      <c r="C72" s="69" t="s">
        <v>204</v>
      </c>
      <c r="D72" s="69" t="s">
        <v>362</v>
      </c>
      <c r="E72" s="69" t="s">
        <v>211</v>
      </c>
      <c r="F72" s="70" t="s">
        <v>207</v>
      </c>
      <c r="G72" s="71">
        <v>2017</v>
      </c>
      <c r="H72" s="72">
        <v>100</v>
      </c>
      <c r="I72" s="72">
        <v>238775.67881453456</v>
      </c>
      <c r="J72" s="72">
        <v>21012.840983350245</v>
      </c>
      <c r="K72" s="72">
        <v>238775.67881453456</v>
      </c>
      <c r="L72" s="72">
        <v>11656.631021068408</v>
      </c>
      <c r="M72" s="72">
        <v>217762.83783118433</v>
      </c>
      <c r="N72" s="72">
        <v>21012.840983350245</v>
      </c>
      <c r="O72" s="72">
        <v>217762.83783118433</v>
      </c>
    </row>
    <row r="73" spans="1:15" hidden="1" x14ac:dyDescent="0.25">
      <c r="A73" s="68" t="s">
        <v>363</v>
      </c>
      <c r="B73" s="68" t="s">
        <v>364</v>
      </c>
      <c r="C73" s="69" t="s">
        <v>204</v>
      </c>
      <c r="D73" s="69" t="s">
        <v>365</v>
      </c>
      <c r="E73" s="69" t="s">
        <v>242</v>
      </c>
      <c r="F73" s="70" t="s">
        <v>207</v>
      </c>
      <c r="G73" s="71">
        <v>2017</v>
      </c>
      <c r="H73" s="72">
        <v>10</v>
      </c>
      <c r="I73" s="72">
        <v>36574.576874999999</v>
      </c>
      <c r="J73" s="72">
        <v>0</v>
      </c>
      <c r="K73" s="72">
        <v>36574.576874999999</v>
      </c>
      <c r="L73" s="72">
        <v>9.3432446289062501</v>
      </c>
      <c r="M73" s="72">
        <v>36524.642809168246</v>
      </c>
      <c r="N73" s="72">
        <v>0</v>
      </c>
      <c r="O73" s="72">
        <v>36314.641478999991</v>
      </c>
    </row>
    <row r="74" spans="1:15" hidden="1" x14ac:dyDescent="0.25">
      <c r="A74" s="68" t="s">
        <v>366</v>
      </c>
      <c r="B74" s="68" t="s">
        <v>367</v>
      </c>
      <c r="C74" s="69" t="s">
        <v>204</v>
      </c>
      <c r="D74" s="69" t="s">
        <v>368</v>
      </c>
      <c r="E74" s="69" t="s">
        <v>211</v>
      </c>
      <c r="F74" s="70" t="s">
        <v>207</v>
      </c>
      <c r="G74" s="71">
        <v>2017</v>
      </c>
      <c r="H74" s="72">
        <v>50</v>
      </c>
      <c r="I74" s="72">
        <v>85288.696769115442</v>
      </c>
      <c r="J74" s="72">
        <v>6936.132748115434</v>
      </c>
      <c r="K74" s="72">
        <v>78352.564020999998</v>
      </c>
      <c r="L74" s="72">
        <v>7552.3658296056146</v>
      </c>
      <c r="M74" s="72">
        <v>70800.198191394389</v>
      </c>
      <c r="N74" s="72">
        <v>14488.49857772105</v>
      </c>
      <c r="O74" s="72">
        <v>78352.564020999998</v>
      </c>
    </row>
    <row r="75" spans="1:15" hidden="1" x14ac:dyDescent="0.25">
      <c r="A75" s="68" t="s">
        <v>369</v>
      </c>
      <c r="B75" s="68" t="s">
        <v>370</v>
      </c>
      <c r="C75" s="69" t="s">
        <v>204</v>
      </c>
      <c r="D75" s="69" t="s">
        <v>371</v>
      </c>
      <c r="E75" s="69" t="s">
        <v>229</v>
      </c>
      <c r="F75" s="70" t="s">
        <v>207</v>
      </c>
      <c r="G75" s="71">
        <v>2017</v>
      </c>
      <c r="H75" s="72">
        <v>27</v>
      </c>
      <c r="I75" s="72">
        <v>85211.869000000006</v>
      </c>
      <c r="J75" s="72">
        <v>134.65175000000002</v>
      </c>
      <c r="K75" s="72">
        <v>85211.869000000006</v>
      </c>
      <c r="L75" s="72">
        <v>134.65175000000002</v>
      </c>
      <c r="M75" s="72">
        <v>85211.869000000006</v>
      </c>
      <c r="N75" s="72">
        <v>134.65175000000002</v>
      </c>
      <c r="O75" s="72">
        <v>85211.869000000006</v>
      </c>
    </row>
    <row r="76" spans="1:15" hidden="1" x14ac:dyDescent="0.25">
      <c r="A76" s="68" t="s">
        <v>372</v>
      </c>
      <c r="B76" s="68" t="s">
        <v>373</v>
      </c>
      <c r="C76" s="69" t="s">
        <v>204</v>
      </c>
      <c r="D76" s="69" t="s">
        <v>374</v>
      </c>
      <c r="E76" s="69" t="s">
        <v>229</v>
      </c>
      <c r="F76" s="70" t="s">
        <v>207</v>
      </c>
      <c r="G76" s="71">
        <v>2017</v>
      </c>
      <c r="H76" s="72">
        <v>80</v>
      </c>
      <c r="I76" s="72">
        <v>271094.76800799998</v>
      </c>
      <c r="J76" s="72">
        <v>0</v>
      </c>
      <c r="K76" s="72">
        <v>271094.76800799998</v>
      </c>
      <c r="L76" s="72">
        <v>85.968000000000004</v>
      </c>
      <c r="M76" s="72">
        <v>271008.80000799999</v>
      </c>
      <c r="N76" s="72">
        <v>0</v>
      </c>
      <c r="O76" s="72">
        <v>271008.80000799999</v>
      </c>
    </row>
    <row r="77" spans="1:15" hidden="1" x14ac:dyDescent="0.25">
      <c r="A77" s="68" t="s">
        <v>375</v>
      </c>
      <c r="B77" s="68" t="s">
        <v>376</v>
      </c>
      <c r="C77" s="69" t="s">
        <v>204</v>
      </c>
      <c r="D77" s="69" t="s">
        <v>376</v>
      </c>
      <c r="E77" s="69" t="s">
        <v>215</v>
      </c>
      <c r="F77" s="70" t="s">
        <v>207</v>
      </c>
      <c r="G77" s="71">
        <v>2017</v>
      </c>
      <c r="H77" s="72">
        <v>10</v>
      </c>
      <c r="I77" s="72">
        <v>21585.008901999998</v>
      </c>
      <c r="J77" s="72">
        <v>0</v>
      </c>
      <c r="K77" s="72">
        <v>21585.008901999998</v>
      </c>
      <c r="L77" s="72">
        <v>82.262625000000014</v>
      </c>
      <c r="M77" s="72">
        <v>21502.746276999998</v>
      </c>
      <c r="N77" s="72">
        <v>30.863</v>
      </c>
      <c r="O77" s="72">
        <v>21585.008901999998</v>
      </c>
    </row>
    <row r="78" spans="1:15" hidden="1" x14ac:dyDescent="0.25">
      <c r="A78" s="68" t="s">
        <v>377</v>
      </c>
      <c r="B78" s="68" t="s">
        <v>378</v>
      </c>
      <c r="C78" s="69" t="s">
        <v>204</v>
      </c>
      <c r="D78" s="69" t="s">
        <v>379</v>
      </c>
      <c r="E78" s="69" t="s">
        <v>242</v>
      </c>
      <c r="F78" s="70" t="s">
        <v>207</v>
      </c>
      <c r="G78" s="71">
        <v>2017</v>
      </c>
      <c r="H78" s="72">
        <v>2.415</v>
      </c>
      <c r="I78" s="72">
        <v>0</v>
      </c>
      <c r="J78" s="72">
        <v>-51571</v>
      </c>
      <c r="K78" s="72">
        <v>51571</v>
      </c>
      <c r="L78" s="72">
        <v>-4533946</v>
      </c>
      <c r="M78" s="72">
        <v>4585517</v>
      </c>
      <c r="N78" s="72">
        <v>4585517</v>
      </c>
      <c r="O78" s="72">
        <v>0</v>
      </c>
    </row>
    <row r="79" spans="1:15" hidden="1" x14ac:dyDescent="0.25">
      <c r="A79" s="68" t="s">
        <v>380</v>
      </c>
      <c r="B79" s="68" t="s">
        <v>381</v>
      </c>
      <c r="C79" s="69" t="s">
        <v>204</v>
      </c>
      <c r="D79" s="69" t="s">
        <v>382</v>
      </c>
      <c r="E79" s="69" t="s">
        <v>229</v>
      </c>
      <c r="F79" s="70" t="s">
        <v>207</v>
      </c>
      <c r="G79" s="71">
        <v>2017</v>
      </c>
      <c r="H79" s="72">
        <v>138.96</v>
      </c>
      <c r="I79" s="72">
        <v>104867.887</v>
      </c>
      <c r="J79" s="72">
        <v>2997.6130000000003</v>
      </c>
      <c r="K79" s="72">
        <v>101870.274</v>
      </c>
      <c r="L79" s="72">
        <v>44.903000000000006</v>
      </c>
      <c r="M79" s="72">
        <v>101825.371</v>
      </c>
      <c r="N79" s="72">
        <v>0</v>
      </c>
      <c r="O79" s="72">
        <v>101905.72803</v>
      </c>
    </row>
    <row r="80" spans="1:15" ht="24.75" hidden="1" x14ac:dyDescent="0.25">
      <c r="A80" s="68" t="s">
        <v>383</v>
      </c>
      <c r="B80" s="68" t="s">
        <v>384</v>
      </c>
      <c r="C80" s="69" t="s">
        <v>204</v>
      </c>
      <c r="D80" s="69" t="s">
        <v>385</v>
      </c>
      <c r="E80" s="69" t="s">
        <v>229</v>
      </c>
      <c r="F80" s="70" t="s">
        <v>207</v>
      </c>
      <c r="G80" s="71">
        <v>2017</v>
      </c>
      <c r="H80" s="72">
        <v>96.48</v>
      </c>
      <c r="I80" s="72">
        <v>81451.952000000005</v>
      </c>
      <c r="J80" s="72">
        <v>2636.3670000000002</v>
      </c>
      <c r="K80" s="72">
        <v>78815.585000000006</v>
      </c>
      <c r="L80" s="72">
        <v>59.94</v>
      </c>
      <c r="M80" s="72">
        <v>78755.645000000004</v>
      </c>
      <c r="N80" s="72">
        <v>0</v>
      </c>
      <c r="O80" s="72">
        <v>78822.672010000009</v>
      </c>
    </row>
    <row r="81" spans="1:16" hidden="1" x14ac:dyDescent="0.25">
      <c r="A81" s="68" t="s">
        <v>386</v>
      </c>
      <c r="B81" s="68" t="s">
        <v>387</v>
      </c>
      <c r="C81" s="69" t="s">
        <v>204</v>
      </c>
      <c r="D81" s="69" t="s">
        <v>388</v>
      </c>
      <c r="E81" s="69" t="s">
        <v>138</v>
      </c>
      <c r="F81" s="70" t="s">
        <v>207</v>
      </c>
      <c r="G81" s="71">
        <v>2017</v>
      </c>
      <c r="H81" s="72">
        <v>4.2480000000000002</v>
      </c>
      <c r="I81" s="72">
        <v>15327.490787499999</v>
      </c>
      <c r="J81" s="72">
        <v>0</v>
      </c>
      <c r="K81" s="72">
        <v>15327.490787499999</v>
      </c>
      <c r="L81" s="72">
        <v>543.47126749999995</v>
      </c>
      <c r="M81" s="72">
        <v>14784.01952</v>
      </c>
      <c r="N81" s="72">
        <v>0</v>
      </c>
      <c r="O81" s="72">
        <v>14784.01952</v>
      </c>
      <c r="P81" s="61">
        <f>O81/(H81*8760)</f>
        <v>0.39728659632467384</v>
      </c>
    </row>
    <row r="82" spans="1:16" ht="24.75" hidden="1" x14ac:dyDescent="0.25">
      <c r="A82" s="68" t="s">
        <v>389</v>
      </c>
      <c r="B82" s="68" t="s">
        <v>390</v>
      </c>
      <c r="C82" s="69" t="s">
        <v>204</v>
      </c>
      <c r="D82" s="69" t="s">
        <v>391</v>
      </c>
      <c r="E82" s="69" t="s">
        <v>392</v>
      </c>
      <c r="F82" s="70" t="s">
        <v>207</v>
      </c>
      <c r="G82" s="71">
        <v>2017</v>
      </c>
      <c r="H82" s="72">
        <v>75</v>
      </c>
      <c r="I82" s="72">
        <v>830203.11260369548</v>
      </c>
      <c r="J82" s="72">
        <v>0</v>
      </c>
      <c r="K82" s="72">
        <v>830203.11260369548</v>
      </c>
      <c r="L82" s="72">
        <v>138922.29478763984</v>
      </c>
      <c r="M82" s="72">
        <v>969125.40739133535</v>
      </c>
      <c r="N82" s="72">
        <v>781865.4529336954</v>
      </c>
      <c r="O82" s="72">
        <v>187731.61095399997</v>
      </c>
    </row>
    <row r="83" spans="1:16" hidden="1" x14ac:dyDescent="0.25">
      <c r="A83" s="68" t="s">
        <v>393</v>
      </c>
      <c r="B83" s="68" t="s">
        <v>394</v>
      </c>
      <c r="C83" s="69" t="s">
        <v>204</v>
      </c>
      <c r="D83" s="69" t="s">
        <v>395</v>
      </c>
      <c r="E83" s="69" t="s">
        <v>396</v>
      </c>
      <c r="F83" s="70" t="s">
        <v>207</v>
      </c>
      <c r="G83" s="71">
        <v>2017</v>
      </c>
      <c r="H83" s="72">
        <v>5.0999999999999996</v>
      </c>
      <c r="I83" s="72">
        <v>10391</v>
      </c>
      <c r="J83" s="72">
        <v>0</v>
      </c>
      <c r="K83" s="72">
        <v>10391</v>
      </c>
      <c r="L83" s="72">
        <v>83507</v>
      </c>
      <c r="M83" s="72">
        <v>0</v>
      </c>
      <c r="N83" s="72">
        <v>93898</v>
      </c>
      <c r="O83" s="72">
        <v>0</v>
      </c>
    </row>
    <row r="84" spans="1:16" hidden="1" x14ac:dyDescent="0.25">
      <c r="A84" s="68" t="s">
        <v>397</v>
      </c>
      <c r="B84" s="68" t="s">
        <v>398</v>
      </c>
      <c r="C84" s="69" t="s">
        <v>204</v>
      </c>
      <c r="D84" s="69" t="s">
        <v>399</v>
      </c>
      <c r="E84" s="69" t="s">
        <v>215</v>
      </c>
      <c r="F84" s="70" t="s">
        <v>207</v>
      </c>
      <c r="G84" s="71">
        <v>2017</v>
      </c>
      <c r="H84" s="72">
        <v>10</v>
      </c>
      <c r="I84" s="72">
        <v>20717.605040000002</v>
      </c>
      <c r="J84" s="72">
        <v>0</v>
      </c>
      <c r="K84" s="72">
        <v>20717.605040000002</v>
      </c>
      <c r="L84" s="72">
        <v>142.68472</v>
      </c>
      <c r="M84" s="72">
        <v>20717.605040000002</v>
      </c>
      <c r="N84" s="72">
        <v>113.73269000000001</v>
      </c>
      <c r="O84" s="72">
        <v>20717.605040000002</v>
      </c>
    </row>
    <row r="85" spans="1:16" hidden="1" x14ac:dyDescent="0.25">
      <c r="A85" s="68" t="s">
        <v>400</v>
      </c>
      <c r="B85" s="68" t="s">
        <v>401</v>
      </c>
      <c r="C85" s="69" t="s">
        <v>204</v>
      </c>
      <c r="D85" s="69" t="s">
        <v>401</v>
      </c>
      <c r="E85" s="69" t="s">
        <v>215</v>
      </c>
      <c r="F85" s="70" t="s">
        <v>207</v>
      </c>
      <c r="G85" s="71">
        <v>2017</v>
      </c>
      <c r="H85" s="72">
        <v>20</v>
      </c>
      <c r="I85" s="72">
        <v>41982.508999999991</v>
      </c>
      <c r="J85" s="72">
        <v>0</v>
      </c>
      <c r="K85" s="72">
        <v>41982.508999999991</v>
      </c>
      <c r="L85" s="72">
        <v>300.75925000000001</v>
      </c>
      <c r="M85" s="72">
        <v>41982.508999999991</v>
      </c>
      <c r="N85" s="72">
        <v>192.06117</v>
      </c>
      <c r="O85" s="72">
        <v>41982.508999999991</v>
      </c>
    </row>
    <row r="86" spans="1:16" hidden="1" x14ac:dyDescent="0.25">
      <c r="A86" s="68" t="s">
        <v>402</v>
      </c>
      <c r="B86" s="68" t="s">
        <v>403</v>
      </c>
      <c r="C86" s="69" t="s">
        <v>204</v>
      </c>
      <c r="D86" s="69" t="s">
        <v>404</v>
      </c>
      <c r="E86" s="69" t="s">
        <v>215</v>
      </c>
      <c r="F86" s="70" t="s">
        <v>207</v>
      </c>
      <c r="G86" s="71">
        <v>2017</v>
      </c>
      <c r="H86" s="72">
        <v>75</v>
      </c>
      <c r="I86" s="72">
        <v>170023.99404047197</v>
      </c>
      <c r="J86" s="72">
        <v>0</v>
      </c>
      <c r="K86" s="72">
        <v>170023.99404047197</v>
      </c>
      <c r="L86" s="72">
        <v>727.67416357000002</v>
      </c>
      <c r="M86" s="72">
        <v>170023.99404047197</v>
      </c>
      <c r="N86" s="72">
        <v>0</v>
      </c>
      <c r="O86" s="72">
        <v>170023.99404047197</v>
      </c>
    </row>
    <row r="87" spans="1:16" hidden="1" x14ac:dyDescent="0.25">
      <c r="A87" s="68" t="s">
        <v>405</v>
      </c>
      <c r="B87" s="68" t="s">
        <v>406</v>
      </c>
      <c r="C87" s="69" t="s">
        <v>256</v>
      </c>
      <c r="D87" s="69" t="s">
        <v>407</v>
      </c>
      <c r="E87" s="69" t="s">
        <v>138</v>
      </c>
      <c r="F87" s="70" t="s">
        <v>207</v>
      </c>
      <c r="G87" s="71">
        <v>2017</v>
      </c>
      <c r="H87" s="72">
        <v>40</v>
      </c>
      <c r="I87" s="72">
        <v>0</v>
      </c>
      <c r="J87" s="72">
        <v>0</v>
      </c>
      <c r="K87" s="72">
        <v>0</v>
      </c>
      <c r="L87" s="72">
        <v>3.24</v>
      </c>
      <c r="M87" s="72">
        <v>-3.24</v>
      </c>
      <c r="N87" s="72">
        <v>3.24</v>
      </c>
      <c r="O87" s="72">
        <v>0</v>
      </c>
      <c r="P87" s="61">
        <f>O87/(H87*8760)</f>
        <v>0</v>
      </c>
    </row>
    <row r="88" spans="1:16" hidden="1" x14ac:dyDescent="0.25">
      <c r="A88" s="68" t="s">
        <v>408</v>
      </c>
      <c r="B88" s="68" t="s">
        <v>409</v>
      </c>
      <c r="C88" s="69" t="s">
        <v>204</v>
      </c>
      <c r="D88" s="69" t="s">
        <v>410</v>
      </c>
      <c r="E88" s="69" t="s">
        <v>138</v>
      </c>
      <c r="F88" s="70" t="s">
        <v>207</v>
      </c>
      <c r="G88" s="71">
        <v>2017</v>
      </c>
      <c r="H88" s="72">
        <v>13</v>
      </c>
      <c r="I88" s="72">
        <v>4330.3919999999998</v>
      </c>
      <c r="J88" s="72">
        <v>0</v>
      </c>
      <c r="K88" s="72">
        <v>4330.3919999999998</v>
      </c>
      <c r="L88" s="72">
        <v>0</v>
      </c>
      <c r="M88" s="72">
        <v>4330.3919999999998</v>
      </c>
      <c r="N88" s="72">
        <v>0</v>
      </c>
      <c r="O88" s="72">
        <v>4330.3919999999998</v>
      </c>
      <c r="P88" s="61">
        <f>O88/(H88*8760)</f>
        <v>3.8025922023182293E-2</v>
      </c>
    </row>
    <row r="89" spans="1:16" hidden="1" x14ac:dyDescent="0.25">
      <c r="A89" s="68" t="s">
        <v>411</v>
      </c>
      <c r="B89" s="68" t="s">
        <v>412</v>
      </c>
      <c r="C89" s="69" t="s">
        <v>204</v>
      </c>
      <c r="D89" s="69" t="s">
        <v>413</v>
      </c>
      <c r="E89" s="69" t="s">
        <v>229</v>
      </c>
      <c r="F89" s="70" t="s">
        <v>207</v>
      </c>
      <c r="G89" s="71">
        <v>2017</v>
      </c>
      <c r="H89" s="72">
        <v>86.6</v>
      </c>
      <c r="I89" s="72">
        <v>250053.76015399999</v>
      </c>
      <c r="J89" s="72">
        <v>0</v>
      </c>
      <c r="K89" s="72">
        <v>250053.76015399999</v>
      </c>
      <c r="L89" s="72">
        <v>384.18799999999999</v>
      </c>
      <c r="M89" s="72">
        <v>249669.57215399999</v>
      </c>
      <c r="N89" s="72">
        <v>0</v>
      </c>
      <c r="O89" s="72">
        <v>249669.57215399999</v>
      </c>
    </row>
    <row r="90" spans="1:16" hidden="1" x14ac:dyDescent="0.25">
      <c r="A90" s="68" t="s">
        <v>414</v>
      </c>
      <c r="B90" s="68" t="s">
        <v>415</v>
      </c>
      <c r="C90" s="69" t="s">
        <v>204</v>
      </c>
      <c r="D90" s="69" t="s">
        <v>416</v>
      </c>
      <c r="E90" s="68" t="s">
        <v>215</v>
      </c>
      <c r="F90" s="70" t="s">
        <v>207</v>
      </c>
      <c r="G90" s="71">
        <v>2017</v>
      </c>
      <c r="H90" s="72">
        <v>64</v>
      </c>
      <c r="I90" s="72">
        <v>150559.6253175</v>
      </c>
      <c r="J90" s="72">
        <v>1170.102062500011</v>
      </c>
      <c r="K90" s="72">
        <v>149389.52525000001</v>
      </c>
      <c r="L90" s="72">
        <v>0</v>
      </c>
      <c r="M90" s="72">
        <v>149389.52525000001</v>
      </c>
      <c r="N90" s="72">
        <v>0</v>
      </c>
      <c r="O90" s="72">
        <v>149389.52525000001</v>
      </c>
    </row>
    <row r="91" spans="1:16" hidden="1" x14ac:dyDescent="0.25">
      <c r="A91" s="68" t="s">
        <v>417</v>
      </c>
      <c r="B91" s="68" t="s">
        <v>418</v>
      </c>
      <c r="C91" s="69" t="s">
        <v>204</v>
      </c>
      <c r="D91" s="69" t="s">
        <v>419</v>
      </c>
      <c r="E91" s="69" t="s">
        <v>138</v>
      </c>
      <c r="F91" s="70" t="s">
        <v>207</v>
      </c>
      <c r="G91" s="71">
        <v>2017</v>
      </c>
      <c r="H91" s="74">
        <v>10.7</v>
      </c>
      <c r="I91" s="72">
        <v>7454.7800000000007</v>
      </c>
      <c r="J91" s="72">
        <v>399.28999999999996</v>
      </c>
      <c r="K91" s="72">
        <v>7055.49</v>
      </c>
      <c r="L91" s="72">
        <v>0</v>
      </c>
      <c r="M91" s="72">
        <v>7055.49</v>
      </c>
      <c r="N91" s="72">
        <v>0</v>
      </c>
      <c r="O91" s="72">
        <v>7055.49</v>
      </c>
      <c r="P91" s="61">
        <f>O91/(H91*8760)</f>
        <v>7.5273012418384327E-2</v>
      </c>
    </row>
    <row r="92" spans="1:16" hidden="1" x14ac:dyDescent="0.25">
      <c r="A92" s="68" t="s">
        <v>420</v>
      </c>
      <c r="B92" s="68" t="s">
        <v>421</v>
      </c>
      <c r="C92" s="69" t="s">
        <v>204</v>
      </c>
      <c r="D92" s="69" t="s">
        <v>422</v>
      </c>
      <c r="E92" s="69" t="s">
        <v>215</v>
      </c>
      <c r="F92" s="70" t="s">
        <v>207</v>
      </c>
      <c r="G92" s="71">
        <v>2017</v>
      </c>
      <c r="H92" s="74">
        <v>75</v>
      </c>
      <c r="I92" s="72">
        <v>146726.672017</v>
      </c>
      <c r="J92" s="72">
        <v>0</v>
      </c>
      <c r="K92" s="72">
        <v>146726.672017</v>
      </c>
      <c r="L92" s="72">
        <v>1073.0819999999999</v>
      </c>
      <c r="M92" s="72">
        <v>145653.59001699998</v>
      </c>
      <c r="N92" s="72">
        <v>0</v>
      </c>
      <c r="O92" s="72">
        <v>145653.59001699998</v>
      </c>
    </row>
    <row r="93" spans="1:16" hidden="1" x14ac:dyDescent="0.25">
      <c r="A93" s="68" t="s">
        <v>423</v>
      </c>
      <c r="B93" s="68" t="s">
        <v>424</v>
      </c>
      <c r="C93" s="69" t="s">
        <v>204</v>
      </c>
      <c r="D93" s="69" t="s">
        <v>425</v>
      </c>
      <c r="E93" s="69" t="s">
        <v>426</v>
      </c>
      <c r="F93" s="70" t="s">
        <v>207</v>
      </c>
      <c r="G93" s="71">
        <v>2017</v>
      </c>
      <c r="H93" s="74">
        <v>4</v>
      </c>
      <c r="I93" s="72">
        <v>60857</v>
      </c>
      <c r="J93" s="72">
        <v>0</v>
      </c>
      <c r="K93" s="72">
        <v>60857</v>
      </c>
      <c r="L93" s="72">
        <v>8144</v>
      </c>
      <c r="M93" s="72">
        <v>55423</v>
      </c>
      <c r="N93" s="72">
        <v>66006</v>
      </c>
      <c r="O93" s="72">
        <v>2996</v>
      </c>
    </row>
    <row r="94" spans="1:16" hidden="1" x14ac:dyDescent="0.25">
      <c r="A94" s="68" t="s">
        <v>423</v>
      </c>
      <c r="B94" s="68" t="s">
        <v>424</v>
      </c>
      <c r="C94" s="69" t="s">
        <v>204</v>
      </c>
      <c r="D94" s="69" t="s">
        <v>427</v>
      </c>
      <c r="E94" s="69" t="s">
        <v>426</v>
      </c>
      <c r="F94" s="70" t="s">
        <v>207</v>
      </c>
      <c r="G94" s="71">
        <v>2017</v>
      </c>
      <c r="H94" s="74">
        <v>3.5</v>
      </c>
      <c r="I94" s="72">
        <v>85537.72</v>
      </c>
      <c r="J94" s="72">
        <v>0</v>
      </c>
      <c r="K94" s="72">
        <v>85555</v>
      </c>
      <c r="L94" s="72">
        <v>3482.8999999999996</v>
      </c>
      <c r="M94" s="72">
        <v>82072.099999999991</v>
      </c>
      <c r="N94" s="72">
        <v>71474.203689999995</v>
      </c>
      <c r="O94" s="72">
        <v>14175.86131</v>
      </c>
    </row>
    <row r="95" spans="1:16" hidden="1" x14ac:dyDescent="0.25">
      <c r="A95" s="68" t="s">
        <v>428</v>
      </c>
      <c r="B95" s="68" t="s">
        <v>429</v>
      </c>
      <c r="C95" s="69" t="s">
        <v>204</v>
      </c>
      <c r="D95" s="69" t="s">
        <v>430</v>
      </c>
      <c r="E95" s="69" t="s">
        <v>215</v>
      </c>
      <c r="F95" s="70" t="s">
        <v>207</v>
      </c>
      <c r="G95" s="71">
        <v>2017</v>
      </c>
      <c r="H95" s="74">
        <v>75</v>
      </c>
      <c r="I95" s="72">
        <v>186582.82770000002</v>
      </c>
      <c r="J95" s="72">
        <v>2012.0666768999999</v>
      </c>
      <c r="K95" s="72">
        <v>184570.76102310003</v>
      </c>
      <c r="L95" s="72">
        <v>2306.8263231000001</v>
      </c>
      <c r="M95" s="72">
        <v>172427.45259148104</v>
      </c>
      <c r="N95" s="72">
        <v>151.15480000000002</v>
      </c>
      <c r="O95" s="72">
        <v>179586.87547821802</v>
      </c>
    </row>
    <row r="96" spans="1:16" hidden="1" x14ac:dyDescent="0.25">
      <c r="A96" s="68" t="s">
        <v>431</v>
      </c>
      <c r="B96" s="68" t="s">
        <v>432</v>
      </c>
      <c r="C96" s="69" t="s">
        <v>204</v>
      </c>
      <c r="D96" s="69" t="s">
        <v>433</v>
      </c>
      <c r="E96" s="69" t="s">
        <v>229</v>
      </c>
      <c r="F96" s="70" t="s">
        <v>207</v>
      </c>
      <c r="G96" s="71">
        <v>2017</v>
      </c>
      <c r="H96" s="74">
        <v>138.6</v>
      </c>
      <c r="I96" s="72">
        <v>329489.94500000007</v>
      </c>
      <c r="J96" s="72">
        <v>0</v>
      </c>
      <c r="K96" s="72">
        <v>329489.94500000007</v>
      </c>
      <c r="L96" s="72">
        <v>1403.9540000000004</v>
      </c>
      <c r="M96" s="72">
        <v>329489.94500000007</v>
      </c>
      <c r="N96" s="72">
        <v>0</v>
      </c>
      <c r="O96" s="72">
        <v>321318.712</v>
      </c>
    </row>
    <row r="97" spans="1:16" hidden="1" x14ac:dyDescent="0.25">
      <c r="A97" s="68" t="s">
        <v>434</v>
      </c>
      <c r="B97" s="68" t="s">
        <v>435</v>
      </c>
      <c r="C97" s="69" t="s">
        <v>204</v>
      </c>
      <c r="D97" s="69" t="s">
        <v>436</v>
      </c>
      <c r="E97" s="69" t="s">
        <v>229</v>
      </c>
      <c r="F97" s="70" t="s">
        <v>207</v>
      </c>
      <c r="G97" s="71">
        <v>2017</v>
      </c>
      <c r="H97" s="74">
        <v>27</v>
      </c>
      <c r="I97" s="72">
        <v>71416.50242199999</v>
      </c>
      <c r="J97" s="72">
        <v>0</v>
      </c>
      <c r="K97" s="72">
        <v>71416.50242199999</v>
      </c>
      <c r="L97" s="72">
        <v>88.842099999999988</v>
      </c>
      <c r="M97" s="72">
        <v>71327.660321999996</v>
      </c>
      <c r="N97" s="72">
        <v>0</v>
      </c>
      <c r="O97" s="72">
        <v>71416.50242199999</v>
      </c>
    </row>
    <row r="98" spans="1:16" hidden="1" x14ac:dyDescent="0.25">
      <c r="A98" s="68" t="s">
        <v>437</v>
      </c>
      <c r="B98" s="68" t="s">
        <v>438</v>
      </c>
      <c r="C98" s="69" t="s">
        <v>204</v>
      </c>
      <c r="D98" s="69" t="s">
        <v>438</v>
      </c>
      <c r="E98" s="69" t="s">
        <v>215</v>
      </c>
      <c r="F98" s="70" t="s">
        <v>207</v>
      </c>
      <c r="G98" s="71">
        <v>2017</v>
      </c>
      <c r="H98" s="74">
        <v>7</v>
      </c>
      <c r="I98" s="72">
        <v>11919.713000000002</v>
      </c>
      <c r="J98" s="72">
        <v>0</v>
      </c>
      <c r="K98" s="72">
        <v>11919.713000000002</v>
      </c>
      <c r="L98" s="72">
        <v>0</v>
      </c>
      <c r="M98" s="72">
        <v>11919.713000000002</v>
      </c>
      <c r="N98" s="72">
        <v>0</v>
      </c>
      <c r="O98" s="72">
        <v>11919.713000000002</v>
      </c>
    </row>
    <row r="99" spans="1:16" hidden="1" x14ac:dyDescent="0.25">
      <c r="A99" s="68" t="s">
        <v>439</v>
      </c>
      <c r="B99" s="68" t="s">
        <v>440</v>
      </c>
      <c r="C99" s="69" t="s">
        <v>204</v>
      </c>
      <c r="D99" s="69" t="s">
        <v>441</v>
      </c>
      <c r="E99" s="69" t="s">
        <v>215</v>
      </c>
      <c r="F99" s="70" t="s">
        <v>207</v>
      </c>
      <c r="G99" s="71">
        <v>2017</v>
      </c>
      <c r="H99" s="74">
        <v>48.5</v>
      </c>
      <c r="I99" s="72">
        <v>97408.195000000007</v>
      </c>
      <c r="J99" s="72">
        <v>0</v>
      </c>
      <c r="K99" s="72">
        <v>97408.195000000007</v>
      </c>
      <c r="L99" s="72">
        <v>599.19500000000016</v>
      </c>
      <c r="M99" s="72">
        <v>96809</v>
      </c>
      <c r="N99" s="72">
        <v>0</v>
      </c>
      <c r="O99" s="72">
        <v>96809</v>
      </c>
    </row>
    <row r="100" spans="1:16" hidden="1" x14ac:dyDescent="0.25">
      <c r="A100" s="68" t="s">
        <v>442</v>
      </c>
      <c r="B100" s="68" t="s">
        <v>443</v>
      </c>
      <c r="C100" s="69" t="s">
        <v>204</v>
      </c>
      <c r="D100" s="69" t="s">
        <v>444</v>
      </c>
      <c r="E100" s="69" t="s">
        <v>215</v>
      </c>
      <c r="F100" s="70" t="s">
        <v>207</v>
      </c>
      <c r="G100" s="71">
        <v>2017</v>
      </c>
      <c r="H100" s="74">
        <v>48.5</v>
      </c>
      <c r="I100" s="72">
        <v>91830.391319999995</v>
      </c>
      <c r="J100" s="72">
        <v>0</v>
      </c>
      <c r="K100" s="72">
        <v>91830.391319999995</v>
      </c>
      <c r="L100" s="72">
        <v>576.67500000000018</v>
      </c>
      <c r="M100" s="72">
        <v>91253.716319999992</v>
      </c>
      <c r="N100" s="72">
        <v>0</v>
      </c>
      <c r="O100" s="72">
        <v>91253.716319999992</v>
      </c>
    </row>
    <row r="101" spans="1:16" ht="15.75" hidden="1" customHeight="1" x14ac:dyDescent="0.25">
      <c r="A101" s="68" t="s">
        <v>445</v>
      </c>
      <c r="B101" s="68" t="s">
        <v>446</v>
      </c>
      <c r="C101" s="69" t="s">
        <v>204</v>
      </c>
      <c r="D101" s="69" t="s">
        <v>447</v>
      </c>
      <c r="E101" s="69" t="s">
        <v>229</v>
      </c>
      <c r="F101" s="70" t="s">
        <v>207</v>
      </c>
      <c r="G101" s="71">
        <v>2017</v>
      </c>
      <c r="H101" s="74">
        <v>138</v>
      </c>
      <c r="I101" s="72">
        <v>40357.99</v>
      </c>
      <c r="J101" s="72">
        <v>0</v>
      </c>
      <c r="K101" s="72">
        <v>40357.99</v>
      </c>
      <c r="L101" s="72">
        <v>18.785</v>
      </c>
      <c r="M101" s="72">
        <v>40339.204999999994</v>
      </c>
      <c r="N101" s="72">
        <v>0</v>
      </c>
      <c r="O101" s="72">
        <v>40339.204999999994</v>
      </c>
    </row>
    <row r="102" spans="1:16" hidden="1" x14ac:dyDescent="0.25">
      <c r="A102" s="68" t="s">
        <v>448</v>
      </c>
      <c r="B102" s="68" t="s">
        <v>449</v>
      </c>
      <c r="C102" s="69" t="s">
        <v>204</v>
      </c>
      <c r="D102" s="69" t="s">
        <v>450</v>
      </c>
      <c r="E102" s="69" t="s">
        <v>229</v>
      </c>
      <c r="F102" s="70" t="s">
        <v>207</v>
      </c>
      <c r="G102" s="71">
        <v>2017</v>
      </c>
      <c r="H102" s="74">
        <v>138.22999999999999</v>
      </c>
      <c r="I102" s="72">
        <v>41138.535000000003</v>
      </c>
      <c r="J102" s="72">
        <v>0</v>
      </c>
      <c r="K102" s="72">
        <v>41138.535000000003</v>
      </c>
      <c r="L102" s="72">
        <v>25.31</v>
      </c>
      <c r="M102" s="72">
        <v>41113.225000000006</v>
      </c>
      <c r="N102" s="72">
        <v>0</v>
      </c>
      <c r="O102" s="72">
        <v>41113.225000000006</v>
      </c>
    </row>
    <row r="103" spans="1:16" hidden="1" x14ac:dyDescent="0.25">
      <c r="A103" s="68" t="s">
        <v>451</v>
      </c>
      <c r="B103" s="68" t="s">
        <v>452</v>
      </c>
      <c r="C103" s="69" t="s">
        <v>204</v>
      </c>
      <c r="D103" s="69" t="s">
        <v>453</v>
      </c>
      <c r="E103" s="69" t="s">
        <v>229</v>
      </c>
      <c r="F103" s="70" t="s">
        <v>207</v>
      </c>
      <c r="G103" s="71">
        <v>2017</v>
      </c>
      <c r="H103" s="74">
        <v>79.05</v>
      </c>
      <c r="I103" s="72">
        <v>293126.16894000006</v>
      </c>
      <c r="J103" s="72">
        <v>220.58600000000001</v>
      </c>
      <c r="K103" s="72">
        <v>292905.58293999999</v>
      </c>
      <c r="L103" s="72">
        <v>222.57300000000004</v>
      </c>
      <c r="M103" s="72">
        <v>292683.00994000002</v>
      </c>
      <c r="N103" s="72">
        <v>0</v>
      </c>
      <c r="O103" s="72">
        <v>292683.00994000002</v>
      </c>
    </row>
    <row r="104" spans="1:16" ht="24.75" hidden="1" x14ac:dyDescent="0.25">
      <c r="A104" s="68" t="s">
        <v>454</v>
      </c>
      <c r="B104" s="68" t="s">
        <v>455</v>
      </c>
      <c r="C104" s="69" t="s">
        <v>204</v>
      </c>
      <c r="D104" s="69" t="s">
        <v>456</v>
      </c>
      <c r="E104" s="69" t="s">
        <v>457</v>
      </c>
      <c r="F104" s="70" t="s">
        <v>207</v>
      </c>
      <c r="G104" s="71">
        <v>2017</v>
      </c>
      <c r="H104" s="74">
        <v>2</v>
      </c>
      <c r="I104" s="72">
        <v>228123.61000000002</v>
      </c>
      <c r="J104" s="72">
        <v>1331.0726400000001</v>
      </c>
      <c r="K104" s="72">
        <v>226792.53736000002</v>
      </c>
      <c r="L104" s="72">
        <v>317983.06100000005</v>
      </c>
      <c r="M104" s="72">
        <v>0</v>
      </c>
      <c r="N104" s="72">
        <v>546106.67099999997</v>
      </c>
      <c r="O104" s="72">
        <v>8360.9599999999991</v>
      </c>
    </row>
    <row r="105" spans="1:16" ht="24.75" hidden="1" x14ac:dyDescent="0.25">
      <c r="A105" s="68" t="s">
        <v>454</v>
      </c>
      <c r="B105" s="68" t="s">
        <v>455</v>
      </c>
      <c r="C105" s="69" t="s">
        <v>204</v>
      </c>
      <c r="D105" s="69" t="s">
        <v>458</v>
      </c>
      <c r="E105" s="69" t="s">
        <v>457</v>
      </c>
      <c r="F105" s="70" t="s">
        <v>207</v>
      </c>
      <c r="G105" s="71">
        <v>2017</v>
      </c>
      <c r="H105" s="74">
        <v>2</v>
      </c>
      <c r="I105" s="72">
        <v>852887.00635199994</v>
      </c>
      <c r="J105" s="72">
        <v>0</v>
      </c>
      <c r="K105" s="72">
        <v>852887.00635199994</v>
      </c>
      <c r="L105" s="72">
        <v>26616.463369999972</v>
      </c>
      <c r="M105" s="72">
        <v>56998.388558999904</v>
      </c>
      <c r="N105" s="72">
        <v>822505.08116300008</v>
      </c>
      <c r="O105" s="72">
        <v>87478.294413999916</v>
      </c>
    </row>
    <row r="106" spans="1:16" x14ac:dyDescent="0.25">
      <c r="A106" s="68" t="s">
        <v>459</v>
      </c>
      <c r="B106" s="68" t="s">
        <v>460</v>
      </c>
      <c r="C106" s="69" t="s">
        <v>204</v>
      </c>
      <c r="D106" s="69" t="s">
        <v>461</v>
      </c>
      <c r="E106" s="69" t="s">
        <v>225</v>
      </c>
      <c r="F106" s="70" t="s">
        <v>207</v>
      </c>
      <c r="G106" s="71">
        <v>2017</v>
      </c>
      <c r="H106" s="74">
        <v>75</v>
      </c>
      <c r="I106" s="72">
        <v>624420.30299999996</v>
      </c>
      <c r="J106" s="72">
        <v>0</v>
      </c>
      <c r="K106" s="72">
        <v>624420.30299999996</v>
      </c>
      <c r="L106" s="72">
        <v>0</v>
      </c>
      <c r="M106" s="72">
        <v>624420.30299999996</v>
      </c>
      <c r="N106" s="72">
        <v>500423.13701900002</v>
      </c>
      <c r="O106" s="72">
        <v>123997.165981</v>
      </c>
    </row>
    <row r="107" spans="1:16" x14ac:dyDescent="0.25">
      <c r="A107" s="68" t="s">
        <v>459</v>
      </c>
      <c r="B107" s="68" t="s">
        <v>460</v>
      </c>
      <c r="C107" s="69" t="s">
        <v>204</v>
      </c>
      <c r="D107" s="69" t="s">
        <v>462</v>
      </c>
      <c r="E107" s="69" t="s">
        <v>225</v>
      </c>
      <c r="F107" s="70" t="s">
        <v>207</v>
      </c>
      <c r="G107" s="71">
        <v>2017</v>
      </c>
      <c r="H107" s="74">
        <v>130</v>
      </c>
      <c r="I107" s="72">
        <v>3846458.7125905789</v>
      </c>
      <c r="J107" s="72">
        <v>0</v>
      </c>
      <c r="K107" s="72">
        <v>3846458.7125905789</v>
      </c>
      <c r="L107" s="72">
        <v>0</v>
      </c>
      <c r="M107" s="72">
        <v>3846458.7125905789</v>
      </c>
      <c r="N107" s="72">
        <v>3704578.9715905795</v>
      </c>
      <c r="O107" s="72">
        <v>141879.74100000001</v>
      </c>
    </row>
    <row r="108" spans="1:16" x14ac:dyDescent="0.25">
      <c r="A108" s="68" t="s">
        <v>459</v>
      </c>
      <c r="B108" s="68" t="s">
        <v>460</v>
      </c>
      <c r="C108" s="69" t="s">
        <v>204</v>
      </c>
      <c r="D108" s="69" t="s">
        <v>463</v>
      </c>
      <c r="E108" s="69" t="s">
        <v>138</v>
      </c>
      <c r="F108" s="70" t="s">
        <v>207</v>
      </c>
      <c r="G108" s="71">
        <v>2017</v>
      </c>
      <c r="H108" s="74">
        <v>35</v>
      </c>
      <c r="I108" s="72">
        <v>815852.91600000008</v>
      </c>
      <c r="J108" s="72">
        <v>21223.614999999976</v>
      </c>
      <c r="K108" s="72">
        <v>794629.30099999998</v>
      </c>
      <c r="L108" s="72">
        <v>0</v>
      </c>
      <c r="M108" s="72">
        <v>794629.30099999998</v>
      </c>
      <c r="N108" s="72">
        <v>794572.74835200002</v>
      </c>
      <c r="O108" s="72">
        <v>56.552647999999998</v>
      </c>
      <c r="P108" s="61">
        <f>O108/(H108*8760)</f>
        <v>1.8445090671885192E-4</v>
      </c>
    </row>
    <row r="109" spans="1:16" x14ac:dyDescent="0.25">
      <c r="A109" s="68" t="s">
        <v>459</v>
      </c>
      <c r="B109" s="68" t="s">
        <v>460</v>
      </c>
      <c r="C109" s="69" t="s">
        <v>204</v>
      </c>
      <c r="D109" s="69" t="s">
        <v>464</v>
      </c>
      <c r="E109" s="69" t="s">
        <v>138</v>
      </c>
      <c r="F109" s="70" t="s">
        <v>207</v>
      </c>
      <c r="G109" s="71">
        <v>2017</v>
      </c>
      <c r="H109" s="74">
        <v>200</v>
      </c>
      <c r="I109" s="72">
        <v>1777011.8069999998</v>
      </c>
      <c r="J109" s="72">
        <v>19036.461664987524</v>
      </c>
      <c r="K109" s="72">
        <v>1757975.3453350123</v>
      </c>
      <c r="L109" s="72">
        <v>0</v>
      </c>
      <c r="M109" s="72">
        <v>1757975.3453350123</v>
      </c>
      <c r="N109" s="72">
        <v>1359504.5843350124</v>
      </c>
      <c r="O109" s="72">
        <v>398470.761</v>
      </c>
      <c r="P109" s="61">
        <f>O109/(H109*8760)</f>
        <v>0.22743764897260274</v>
      </c>
    </row>
    <row r="110" spans="1:16" hidden="1" x14ac:dyDescent="0.25">
      <c r="A110" s="68" t="s">
        <v>465</v>
      </c>
      <c r="B110" s="68" t="s">
        <v>466</v>
      </c>
      <c r="C110" s="69" t="s">
        <v>204</v>
      </c>
      <c r="D110" s="69" t="s">
        <v>467</v>
      </c>
      <c r="E110" s="69" t="s">
        <v>215</v>
      </c>
      <c r="F110" s="70" t="s">
        <v>207</v>
      </c>
      <c r="G110" s="71">
        <v>2017</v>
      </c>
      <c r="H110" s="74">
        <v>75</v>
      </c>
      <c r="I110" s="72">
        <v>145984.744484</v>
      </c>
      <c r="J110" s="72">
        <v>0</v>
      </c>
      <c r="K110" s="72">
        <v>145984.744484</v>
      </c>
      <c r="L110" s="72">
        <v>589.51736000000574</v>
      </c>
      <c r="M110" s="72">
        <v>145395.22712399997</v>
      </c>
      <c r="N110" s="72">
        <v>0</v>
      </c>
      <c r="O110" s="72">
        <v>145395.22712399997</v>
      </c>
    </row>
    <row r="111" spans="1:16" hidden="1" x14ac:dyDescent="0.25">
      <c r="A111" s="68" t="s">
        <v>216</v>
      </c>
      <c r="B111" s="68" t="s">
        <v>468</v>
      </c>
      <c r="C111" s="69" t="s">
        <v>204</v>
      </c>
      <c r="D111" s="69" t="s">
        <v>469</v>
      </c>
      <c r="E111" s="69" t="s">
        <v>215</v>
      </c>
      <c r="F111" s="70" t="s">
        <v>207</v>
      </c>
      <c r="G111" s="71">
        <v>2017</v>
      </c>
      <c r="H111" s="74">
        <v>10</v>
      </c>
      <c r="I111" s="72">
        <v>21461.508039999997</v>
      </c>
      <c r="J111" s="72">
        <v>0</v>
      </c>
      <c r="K111" s="72">
        <v>21461.508039999997</v>
      </c>
      <c r="L111" s="72">
        <v>81.064166666666665</v>
      </c>
      <c r="M111" s="72">
        <v>21380.443873333337</v>
      </c>
      <c r="N111" s="72">
        <v>27.298999999999999</v>
      </c>
      <c r="O111" s="72">
        <v>21461.508039999997</v>
      </c>
    </row>
    <row r="112" spans="1:16" hidden="1" x14ac:dyDescent="0.25">
      <c r="A112" s="68" t="s">
        <v>470</v>
      </c>
      <c r="B112" s="68" t="s">
        <v>471</v>
      </c>
      <c r="C112" s="69" t="s">
        <v>204</v>
      </c>
      <c r="D112" s="69" t="s">
        <v>472</v>
      </c>
      <c r="E112" s="69" t="s">
        <v>215</v>
      </c>
      <c r="F112" s="70" t="s">
        <v>207</v>
      </c>
      <c r="G112" s="71">
        <v>2017</v>
      </c>
      <c r="H112" s="74">
        <v>36.799999999999997</v>
      </c>
      <c r="I112" s="72">
        <v>88866.88708</v>
      </c>
      <c r="J112" s="72">
        <v>0</v>
      </c>
      <c r="K112" s="72">
        <v>82487.993679999985</v>
      </c>
      <c r="L112" s="72">
        <v>331.48039999999844</v>
      </c>
      <c r="M112" s="72">
        <v>82147.910559999975</v>
      </c>
      <c r="N112" s="72">
        <v>0</v>
      </c>
      <c r="O112" s="72">
        <v>82147.910559999975</v>
      </c>
    </row>
    <row r="113" spans="1:15" hidden="1" x14ac:dyDescent="0.25">
      <c r="A113" s="68" t="s">
        <v>473</v>
      </c>
      <c r="B113" s="68" t="s">
        <v>474</v>
      </c>
      <c r="C113" s="69" t="s">
        <v>204</v>
      </c>
      <c r="D113" s="69" t="s">
        <v>475</v>
      </c>
      <c r="E113" s="69" t="s">
        <v>215</v>
      </c>
      <c r="F113" s="70" t="s">
        <v>207</v>
      </c>
      <c r="G113" s="71">
        <v>2017</v>
      </c>
      <c r="H113" s="74">
        <v>69.599999999999994</v>
      </c>
      <c r="I113" s="72">
        <v>158612.76344000001</v>
      </c>
      <c r="J113" s="72">
        <v>0</v>
      </c>
      <c r="K113" s="72">
        <v>158612.76344000001</v>
      </c>
      <c r="L113" s="72">
        <v>578.45688000000632</v>
      </c>
      <c r="M113" s="72">
        <v>158034.30655999997</v>
      </c>
      <c r="N113" s="72">
        <v>0</v>
      </c>
      <c r="O113" s="72">
        <v>158034.30655999997</v>
      </c>
    </row>
    <row r="114" spans="1:15" hidden="1" x14ac:dyDescent="0.25">
      <c r="A114" s="68" t="s">
        <v>476</v>
      </c>
      <c r="B114" s="68" t="s">
        <v>477</v>
      </c>
      <c r="C114" s="69" t="s">
        <v>204</v>
      </c>
      <c r="D114" s="69" t="s">
        <v>478</v>
      </c>
      <c r="E114" s="69" t="s">
        <v>215</v>
      </c>
      <c r="F114" s="70" t="s">
        <v>207</v>
      </c>
      <c r="G114" s="71">
        <v>2017</v>
      </c>
      <c r="H114" s="74">
        <v>5</v>
      </c>
      <c r="I114" s="72">
        <v>10635.072630000001</v>
      </c>
      <c r="J114" s="72">
        <v>0</v>
      </c>
      <c r="K114" s="72">
        <v>10635.072630000001</v>
      </c>
      <c r="L114" s="72">
        <v>33.427999999999997</v>
      </c>
      <c r="M114" s="72">
        <v>10635.072630000001</v>
      </c>
      <c r="N114" s="72">
        <v>33.427999999999997</v>
      </c>
      <c r="O114" s="72">
        <v>10635.072630000001</v>
      </c>
    </row>
    <row r="115" spans="1:15" hidden="1" x14ac:dyDescent="0.25">
      <c r="A115" s="68" t="s">
        <v>479</v>
      </c>
      <c r="B115" s="68" t="s">
        <v>480</v>
      </c>
      <c r="C115" s="69" t="s">
        <v>204</v>
      </c>
      <c r="D115" s="69" t="s">
        <v>481</v>
      </c>
      <c r="E115" s="69" t="s">
        <v>215</v>
      </c>
      <c r="F115" s="70" t="s">
        <v>207</v>
      </c>
      <c r="G115" s="71">
        <v>2017</v>
      </c>
      <c r="H115" s="74">
        <v>75</v>
      </c>
      <c r="I115" s="72">
        <v>158252.18637600006</v>
      </c>
      <c r="J115" s="72">
        <v>0</v>
      </c>
      <c r="K115" s="72">
        <v>158252.18637600006</v>
      </c>
      <c r="L115" s="72">
        <v>0</v>
      </c>
      <c r="M115" s="72">
        <v>158252.18637600006</v>
      </c>
      <c r="N115" s="72">
        <v>0</v>
      </c>
      <c r="O115" s="72">
        <v>158252.18637600006</v>
      </c>
    </row>
    <row r="116" spans="1:15" hidden="1" x14ac:dyDescent="0.25">
      <c r="A116" s="68" t="s">
        <v>482</v>
      </c>
      <c r="B116" s="68" t="s">
        <v>483</v>
      </c>
      <c r="C116" s="69" t="s">
        <v>204</v>
      </c>
      <c r="D116" s="69" t="s">
        <v>484</v>
      </c>
      <c r="E116" s="69" t="s">
        <v>215</v>
      </c>
      <c r="F116" s="70" t="s">
        <v>207</v>
      </c>
      <c r="G116" s="71">
        <v>2017</v>
      </c>
      <c r="H116" s="74">
        <v>75</v>
      </c>
      <c r="I116" s="72">
        <v>184923.49873000005</v>
      </c>
      <c r="J116" s="72">
        <v>0</v>
      </c>
      <c r="K116" s="72">
        <v>184923.49873000005</v>
      </c>
      <c r="L116" s="72">
        <v>0</v>
      </c>
      <c r="M116" s="72">
        <v>184923.49873000005</v>
      </c>
      <c r="N116" s="72">
        <v>0</v>
      </c>
      <c r="O116" s="72">
        <v>184923.49873000005</v>
      </c>
    </row>
    <row r="117" spans="1:15" hidden="1" x14ac:dyDescent="0.25">
      <c r="A117" s="68" t="s">
        <v>485</v>
      </c>
      <c r="B117" s="68" t="s">
        <v>486</v>
      </c>
      <c r="C117" s="69" t="s">
        <v>204</v>
      </c>
      <c r="D117" s="69" t="s">
        <v>486</v>
      </c>
      <c r="E117" s="69" t="s">
        <v>242</v>
      </c>
      <c r="F117" s="70" t="s">
        <v>207</v>
      </c>
      <c r="G117" s="71">
        <v>2017</v>
      </c>
      <c r="H117" s="74">
        <v>4.3099999999999996</v>
      </c>
      <c r="I117" s="72">
        <v>31055.950000000008</v>
      </c>
      <c r="J117" s="72">
        <v>0</v>
      </c>
      <c r="K117" s="72">
        <v>31055.950000000008</v>
      </c>
      <c r="L117" s="72">
        <v>122.70400000000001</v>
      </c>
      <c r="M117" s="72">
        <v>30933.245999999999</v>
      </c>
      <c r="N117" s="72">
        <v>5.7</v>
      </c>
      <c r="O117" s="72">
        <v>30927.545999999998</v>
      </c>
    </row>
    <row r="118" spans="1:15" hidden="1" x14ac:dyDescent="0.25">
      <c r="A118" s="68" t="s">
        <v>487</v>
      </c>
      <c r="B118" s="68" t="s">
        <v>488</v>
      </c>
      <c r="C118" s="69" t="s">
        <v>204</v>
      </c>
      <c r="D118" s="69" t="s">
        <v>489</v>
      </c>
      <c r="E118" s="69" t="s">
        <v>215</v>
      </c>
      <c r="F118" s="70" t="s">
        <v>207</v>
      </c>
      <c r="G118" s="71">
        <v>2017</v>
      </c>
      <c r="H118" s="74">
        <v>8.9</v>
      </c>
      <c r="I118" s="72">
        <v>18783.633999999998</v>
      </c>
      <c r="J118" s="72">
        <v>0</v>
      </c>
      <c r="K118" s="72">
        <v>18783.633999999998</v>
      </c>
      <c r="L118" s="72">
        <v>111.12299999999999</v>
      </c>
      <c r="M118" s="72">
        <v>18672.511000000002</v>
      </c>
      <c r="N118" s="72">
        <v>0</v>
      </c>
      <c r="O118" s="72">
        <v>18672.511000000002</v>
      </c>
    </row>
    <row r="119" spans="1:15" hidden="1" x14ac:dyDescent="0.25">
      <c r="A119" s="68" t="s">
        <v>490</v>
      </c>
      <c r="B119" s="68" t="s">
        <v>491</v>
      </c>
      <c r="C119" s="69" t="s">
        <v>256</v>
      </c>
      <c r="D119" s="69" t="s">
        <v>492</v>
      </c>
      <c r="E119" s="69" t="s">
        <v>242</v>
      </c>
      <c r="F119" s="70" t="s">
        <v>207</v>
      </c>
      <c r="G119" s="71">
        <v>2017</v>
      </c>
      <c r="H119" s="74">
        <v>3.35</v>
      </c>
      <c r="I119" s="72">
        <v>9885.3604300000006</v>
      </c>
      <c r="J119" s="72">
        <v>0</v>
      </c>
      <c r="K119" s="72">
        <v>9885.3604300000006</v>
      </c>
      <c r="L119" s="72">
        <v>0</v>
      </c>
      <c r="M119" s="72">
        <v>0</v>
      </c>
      <c r="N119" s="72">
        <v>0</v>
      </c>
      <c r="O119" s="72">
        <v>9885.3604300000006</v>
      </c>
    </row>
    <row r="120" spans="1:15" hidden="1" x14ac:dyDescent="0.25">
      <c r="A120" s="68" t="s">
        <v>493</v>
      </c>
      <c r="B120" s="68" t="s">
        <v>494</v>
      </c>
      <c r="C120" s="69" t="s">
        <v>204</v>
      </c>
      <c r="D120" s="69" t="s">
        <v>495</v>
      </c>
      <c r="E120" s="69" t="s">
        <v>215</v>
      </c>
      <c r="F120" s="70" t="s">
        <v>207</v>
      </c>
      <c r="G120" s="71">
        <v>2017</v>
      </c>
      <c r="H120" s="74">
        <v>60</v>
      </c>
      <c r="I120" s="72">
        <v>116393.06302200002</v>
      </c>
      <c r="J120" s="72">
        <v>0</v>
      </c>
      <c r="K120" s="72">
        <v>116393.06302200002</v>
      </c>
      <c r="L120" s="72">
        <v>1077.2</v>
      </c>
      <c r="M120" s="72">
        <v>115315.86302200001</v>
      </c>
      <c r="N120" s="72">
        <v>0</v>
      </c>
      <c r="O120" s="72">
        <v>115315.86302200001</v>
      </c>
    </row>
    <row r="121" spans="1:15" hidden="1" x14ac:dyDescent="0.25">
      <c r="A121" s="68" t="s">
        <v>496</v>
      </c>
      <c r="B121" s="68" t="s">
        <v>497</v>
      </c>
      <c r="C121" s="69" t="s">
        <v>204</v>
      </c>
      <c r="D121" s="69" t="s">
        <v>498</v>
      </c>
      <c r="E121" s="69" t="s">
        <v>426</v>
      </c>
      <c r="F121" s="70" t="s">
        <v>207</v>
      </c>
      <c r="G121" s="71">
        <v>2017</v>
      </c>
      <c r="H121" s="74">
        <v>12</v>
      </c>
      <c r="I121" s="72">
        <v>32778</v>
      </c>
      <c r="J121" s="72">
        <v>0</v>
      </c>
      <c r="K121" s="72">
        <v>32778</v>
      </c>
      <c r="L121" s="72">
        <v>7788.3</v>
      </c>
      <c r="M121" s="72">
        <v>40566.300000000003</v>
      </c>
      <c r="N121" s="72">
        <v>39675.400000000009</v>
      </c>
      <c r="O121" s="72">
        <v>890.90000000000009</v>
      </c>
    </row>
    <row r="122" spans="1:15" hidden="1" x14ac:dyDescent="0.25">
      <c r="A122" s="68" t="s">
        <v>496</v>
      </c>
      <c r="B122" s="68" t="s">
        <v>497</v>
      </c>
      <c r="C122" s="69" t="s">
        <v>204</v>
      </c>
      <c r="D122" s="69" t="s">
        <v>499</v>
      </c>
      <c r="E122" s="69" t="s">
        <v>426</v>
      </c>
      <c r="F122" s="70" t="s">
        <v>207</v>
      </c>
      <c r="G122" s="71">
        <v>2017</v>
      </c>
      <c r="H122" s="74">
        <v>12</v>
      </c>
      <c r="I122" s="72">
        <v>16800</v>
      </c>
      <c r="J122" s="72">
        <v>0</v>
      </c>
      <c r="K122" s="72">
        <v>16800</v>
      </c>
      <c r="L122" s="72">
        <v>4990.0999999999995</v>
      </c>
      <c r="M122" s="72">
        <v>21790.100000000002</v>
      </c>
      <c r="N122" s="72">
        <v>21790.100000000002</v>
      </c>
      <c r="O122" s="72">
        <v>0</v>
      </c>
    </row>
    <row r="123" spans="1:15" hidden="1" x14ac:dyDescent="0.25">
      <c r="A123" s="68" t="s">
        <v>496</v>
      </c>
      <c r="B123" s="68" t="s">
        <v>497</v>
      </c>
      <c r="C123" s="69" t="s">
        <v>204</v>
      </c>
      <c r="D123" s="69" t="s">
        <v>500</v>
      </c>
      <c r="E123" s="69" t="s">
        <v>426</v>
      </c>
      <c r="F123" s="70" t="s">
        <v>207</v>
      </c>
      <c r="G123" s="71">
        <v>2017</v>
      </c>
      <c r="H123" s="74">
        <v>32</v>
      </c>
      <c r="I123" s="72">
        <v>78800</v>
      </c>
      <c r="J123" s="72">
        <v>0</v>
      </c>
      <c r="K123" s="72">
        <v>78800</v>
      </c>
      <c r="L123" s="72">
        <v>7440.8000000000011</v>
      </c>
      <c r="M123" s="72">
        <v>86240.800000000017</v>
      </c>
      <c r="N123" s="72">
        <v>71739.899999999994</v>
      </c>
      <c r="O123" s="72">
        <v>14500.9</v>
      </c>
    </row>
    <row r="124" spans="1:15" hidden="1" x14ac:dyDescent="0.25">
      <c r="A124" s="68" t="s">
        <v>496</v>
      </c>
      <c r="B124" s="68" t="s">
        <v>497</v>
      </c>
      <c r="C124" s="69" t="s">
        <v>204</v>
      </c>
      <c r="D124" s="69" t="s">
        <v>501</v>
      </c>
      <c r="E124" s="69" t="s">
        <v>426</v>
      </c>
      <c r="F124" s="70" t="s">
        <v>207</v>
      </c>
      <c r="G124" s="71">
        <v>2017</v>
      </c>
      <c r="H124" s="74">
        <v>22.5</v>
      </c>
      <c r="I124" s="72">
        <v>42929.600000000006</v>
      </c>
      <c r="J124" s="72">
        <v>0</v>
      </c>
      <c r="K124" s="72">
        <v>42929.600000000006</v>
      </c>
      <c r="L124" s="72">
        <v>10784.400000000001</v>
      </c>
      <c r="M124" s="72">
        <v>53714.000000000007</v>
      </c>
      <c r="N124" s="72">
        <v>50765.399999999994</v>
      </c>
      <c r="O124" s="72">
        <v>2948.5999999999995</v>
      </c>
    </row>
    <row r="125" spans="1:15" hidden="1" x14ac:dyDescent="0.25">
      <c r="A125" s="68" t="s">
        <v>502</v>
      </c>
      <c r="B125" s="68" t="s">
        <v>503</v>
      </c>
      <c r="C125" s="69" t="s">
        <v>204</v>
      </c>
      <c r="D125" s="69" t="s">
        <v>504</v>
      </c>
      <c r="E125" s="69" t="s">
        <v>229</v>
      </c>
      <c r="F125" s="70" t="s">
        <v>207</v>
      </c>
      <c r="G125" s="71">
        <v>2017</v>
      </c>
      <c r="H125" s="74">
        <v>94.8</v>
      </c>
      <c r="I125" s="72">
        <v>340331</v>
      </c>
      <c r="J125" s="72">
        <v>0</v>
      </c>
      <c r="K125" s="72">
        <v>340331</v>
      </c>
      <c r="L125" s="72">
        <v>528.84299999999996</v>
      </c>
      <c r="M125" s="72">
        <v>339802.15700000001</v>
      </c>
      <c r="N125" s="72">
        <v>2863.5711899999988</v>
      </c>
      <c r="O125" s="72">
        <v>336938.58580999996</v>
      </c>
    </row>
    <row r="126" spans="1:15" hidden="1" x14ac:dyDescent="0.25">
      <c r="A126" s="68" t="s">
        <v>505</v>
      </c>
      <c r="B126" s="68" t="s">
        <v>506</v>
      </c>
      <c r="C126" s="69" t="s">
        <v>204</v>
      </c>
      <c r="D126" s="69" t="s">
        <v>507</v>
      </c>
      <c r="E126" s="69" t="s">
        <v>353</v>
      </c>
      <c r="F126" s="70" t="s">
        <v>207</v>
      </c>
      <c r="G126" s="71">
        <v>2017</v>
      </c>
      <c r="H126" s="74">
        <v>5</v>
      </c>
      <c r="I126" s="72">
        <v>41145.648000000001</v>
      </c>
      <c r="J126" s="72">
        <v>0</v>
      </c>
      <c r="K126" s="72">
        <v>41145.648000000001</v>
      </c>
      <c r="L126" s="72">
        <v>2922.1311999999998</v>
      </c>
      <c r="M126" s="72">
        <v>0</v>
      </c>
      <c r="N126" s="72">
        <v>42919.327259999998</v>
      </c>
      <c r="O126" s="72">
        <v>1148.4519399999999</v>
      </c>
    </row>
    <row r="127" spans="1:15" hidden="1" x14ac:dyDescent="0.25">
      <c r="A127" s="68" t="s">
        <v>508</v>
      </c>
      <c r="B127" s="68" t="s">
        <v>509</v>
      </c>
      <c r="C127" s="69" t="s">
        <v>204</v>
      </c>
      <c r="D127" s="69" t="s">
        <v>510</v>
      </c>
      <c r="E127" s="69" t="s">
        <v>229</v>
      </c>
      <c r="F127" s="70" t="s">
        <v>207</v>
      </c>
      <c r="G127" s="71">
        <v>2017</v>
      </c>
      <c r="H127" s="74">
        <v>65.400000000000006</v>
      </c>
      <c r="I127" s="72">
        <v>184742.21</v>
      </c>
      <c r="J127" s="72">
        <v>0</v>
      </c>
      <c r="K127" s="72">
        <v>184742.21</v>
      </c>
      <c r="L127" s="72">
        <v>604.45499999999993</v>
      </c>
      <c r="M127" s="72">
        <v>184742.21</v>
      </c>
      <c r="N127" s="72">
        <v>72</v>
      </c>
      <c r="O127" s="72">
        <v>182409.54843522096</v>
      </c>
    </row>
    <row r="128" spans="1:15" hidden="1" x14ac:dyDescent="0.25">
      <c r="A128" s="68" t="s">
        <v>511</v>
      </c>
      <c r="B128" s="68" t="s">
        <v>512</v>
      </c>
      <c r="C128" s="69" t="s">
        <v>204</v>
      </c>
      <c r="D128" s="69" t="s">
        <v>513</v>
      </c>
      <c r="E128" s="69" t="s">
        <v>215</v>
      </c>
      <c r="F128" s="70" t="s">
        <v>207</v>
      </c>
      <c r="G128" s="71">
        <v>2017</v>
      </c>
      <c r="H128" s="74">
        <v>8.82</v>
      </c>
      <c r="I128" s="72">
        <v>19601.809999999998</v>
      </c>
      <c r="J128" s="72">
        <v>81.070000000000022</v>
      </c>
      <c r="K128" s="72">
        <v>19682.879999999997</v>
      </c>
      <c r="L128" s="72">
        <v>0</v>
      </c>
      <c r="M128" s="72">
        <v>19601.809999999998</v>
      </c>
      <c r="N128" s="72">
        <v>0</v>
      </c>
      <c r="O128" s="72">
        <v>19601.809999999998</v>
      </c>
    </row>
    <row r="129" spans="1:15" hidden="1" x14ac:dyDescent="0.25">
      <c r="A129" s="68" t="s">
        <v>514</v>
      </c>
      <c r="B129" s="68" t="s">
        <v>515</v>
      </c>
      <c r="C129" s="69" t="s">
        <v>204</v>
      </c>
      <c r="D129" s="69" t="s">
        <v>516</v>
      </c>
      <c r="E129" s="69" t="s">
        <v>229</v>
      </c>
      <c r="F129" s="70" t="s">
        <v>207</v>
      </c>
      <c r="G129" s="71">
        <v>2017</v>
      </c>
      <c r="H129" s="74">
        <v>23.4</v>
      </c>
      <c r="I129" s="72">
        <v>95641.610249999998</v>
      </c>
      <c r="J129" s="72">
        <v>0</v>
      </c>
      <c r="K129" s="72">
        <v>95641.610249999998</v>
      </c>
      <c r="L129" s="72">
        <v>103.21000000000001</v>
      </c>
      <c r="M129" s="72">
        <v>95538.400249999977</v>
      </c>
      <c r="N129" s="72">
        <v>0</v>
      </c>
      <c r="O129" s="72">
        <v>95538.400249999977</v>
      </c>
    </row>
    <row r="130" spans="1:15" hidden="1" x14ac:dyDescent="0.25">
      <c r="A130" s="68" t="s">
        <v>517</v>
      </c>
      <c r="B130" s="68" t="s">
        <v>518</v>
      </c>
      <c r="C130" s="69" t="s">
        <v>204</v>
      </c>
      <c r="D130" s="69" t="s">
        <v>519</v>
      </c>
      <c r="E130" s="69" t="s">
        <v>215</v>
      </c>
      <c r="F130" s="70" t="s">
        <v>207</v>
      </c>
      <c r="G130" s="71">
        <v>2017</v>
      </c>
      <c r="H130" s="74">
        <v>74</v>
      </c>
      <c r="I130" s="72">
        <v>206664.64517100001</v>
      </c>
      <c r="J130" s="72">
        <v>0</v>
      </c>
      <c r="K130" s="72">
        <v>206664.64517100001</v>
      </c>
      <c r="L130" s="72">
        <v>0</v>
      </c>
      <c r="M130" s="72">
        <v>206664.64517100001</v>
      </c>
      <c r="N130" s="72">
        <v>0</v>
      </c>
      <c r="O130" s="72">
        <v>206664.64517100001</v>
      </c>
    </row>
    <row r="131" spans="1:15" ht="15.75" hidden="1" thickBot="1" x14ac:dyDescent="0.3">
      <c r="A131" s="75" t="s">
        <v>520</v>
      </c>
      <c r="B131" s="75" t="s">
        <v>521</v>
      </c>
      <c r="C131" s="76" t="s">
        <v>204</v>
      </c>
      <c r="D131" s="76" t="s">
        <v>522</v>
      </c>
      <c r="E131" s="76" t="s">
        <v>211</v>
      </c>
      <c r="F131" s="77" t="s">
        <v>207</v>
      </c>
      <c r="G131" s="78">
        <v>2017</v>
      </c>
      <c r="H131" s="79">
        <v>100</v>
      </c>
      <c r="I131" s="80">
        <v>205620.72691409368</v>
      </c>
      <c r="J131" s="80">
        <v>22768.658161720305</v>
      </c>
      <c r="K131" s="80">
        <v>182852.06875237339</v>
      </c>
      <c r="L131" s="80">
        <v>2666.0811282309546</v>
      </c>
      <c r="M131" s="80">
        <v>205620.72691409368</v>
      </c>
      <c r="N131" s="80">
        <v>22768.658161720305</v>
      </c>
      <c r="O131" s="80">
        <v>182852.06875237339</v>
      </c>
    </row>
    <row r="132" spans="1:15" hidden="1" x14ac:dyDescent="0.25"/>
    <row r="133" spans="1:15" hidden="1" x14ac:dyDescent="0.25">
      <c r="H133" s="61" t="s">
        <v>162</v>
      </c>
    </row>
    <row r="134" spans="1:15" hidden="1" x14ac:dyDescent="0.25">
      <c r="H134" s="61" t="s">
        <v>523</v>
      </c>
    </row>
    <row r="135" spans="1:15" hidden="1" x14ac:dyDescent="0.25">
      <c r="H135" s="81">
        <f>H27+H47+H48+H49+H50+H88+H91</f>
        <v>1726.7</v>
      </c>
      <c r="O135" s="81">
        <f>O27+O47+O48+O49+O50+O88+O91</f>
        <v>92755.952000000005</v>
      </c>
    </row>
    <row r="138" spans="1:15" x14ac:dyDescent="0.25">
      <c r="B138" s="68" t="s">
        <v>460</v>
      </c>
      <c r="G138" s="61">
        <v>2017</v>
      </c>
      <c r="H138" s="81">
        <f>SUM(H106:H109)</f>
        <v>440</v>
      </c>
      <c r="I138" s="81">
        <f>SUM(I106:I109)</f>
        <v>7063743.7385905795</v>
      </c>
      <c r="J138" s="81">
        <f t="shared" ref="J138:O138" si="0">SUM(J106:J109)</f>
        <v>40260.0766649875</v>
      </c>
      <c r="K138" s="81">
        <f t="shared" si="0"/>
        <v>7023483.6619255915</v>
      </c>
      <c r="L138" s="81">
        <f t="shared" si="0"/>
        <v>0</v>
      </c>
      <c r="M138" s="81">
        <f t="shared" si="0"/>
        <v>7023483.6619255915</v>
      </c>
      <c r="N138" s="81">
        <f t="shared" si="0"/>
        <v>6359079.4412965924</v>
      </c>
      <c r="O138" s="81">
        <f t="shared" si="0"/>
        <v>664404.22062899999</v>
      </c>
    </row>
    <row r="140" spans="1:15" x14ac:dyDescent="0.25">
      <c r="I140" s="61">
        <f>I138/1000</f>
        <v>7063.7437385905796</v>
      </c>
    </row>
    <row r="141" spans="1:15" x14ac:dyDescent="0.25">
      <c r="K141" s="61">
        <f>K138/1000</f>
        <v>7023.4836619255912</v>
      </c>
    </row>
    <row r="142" spans="1:15" x14ac:dyDescent="0.25">
      <c r="G142" s="61" t="s">
        <v>524</v>
      </c>
      <c r="I142" s="61" t="s">
        <v>183</v>
      </c>
      <c r="J142" s="61" t="s">
        <v>565</v>
      </c>
      <c r="K142" s="243" t="s">
        <v>790</v>
      </c>
    </row>
    <row r="143" spans="1:15" x14ac:dyDescent="0.25">
      <c r="B143" s="61" t="str">
        <f>B106</f>
        <v>Sasol South Africa (Pty) Limited</v>
      </c>
      <c r="C143" s="61" t="str">
        <f t="shared" ref="C143:F146" si="1">C106</f>
        <v>Private</v>
      </c>
      <c r="D143" s="61" t="str">
        <f t="shared" si="1"/>
        <v>Sasol Chemical Industries Plant</v>
      </c>
      <c r="E143" s="61" t="str">
        <f t="shared" si="1"/>
        <v>Coal</v>
      </c>
      <c r="F143" s="61" t="str">
        <f t="shared" si="1"/>
        <v>January-December 2017</v>
      </c>
      <c r="G143" s="82">
        <v>0.54831380847842326</v>
      </c>
      <c r="H143" s="61">
        <f>I106/8760/G143</f>
        <v>130.00011198815957</v>
      </c>
      <c r="J143" s="81"/>
    </row>
    <row r="144" spans="1:15" x14ac:dyDescent="0.25">
      <c r="B144" s="61" t="str">
        <f t="shared" ref="B144:B146" si="2">B107</f>
        <v>Sasol South Africa (Pty) Limited</v>
      </c>
      <c r="C144" s="61" t="str">
        <f t="shared" si="1"/>
        <v>Private</v>
      </c>
      <c r="D144" s="61" t="str">
        <f t="shared" si="1"/>
        <v>Sasol Synfuels Steam Plant</v>
      </c>
      <c r="E144" s="61" t="str">
        <f t="shared" si="1"/>
        <v>Coal</v>
      </c>
      <c r="F144" s="61" t="str">
        <f t="shared" si="1"/>
        <v>January-December 2017</v>
      </c>
      <c r="G144" s="82">
        <v>0.73182237706521347</v>
      </c>
      <c r="H144" s="61">
        <f t="shared" ref="H144:H145" si="3">I107/8760/G144</f>
        <v>600.00004659909746</v>
      </c>
    </row>
    <row r="145" spans="2:11" x14ac:dyDescent="0.25">
      <c r="B145" s="61" t="str">
        <f t="shared" si="2"/>
        <v>Sasol South Africa (Pty) Limited</v>
      </c>
      <c r="C145" s="61" t="str">
        <f t="shared" si="1"/>
        <v>Private</v>
      </c>
      <c r="D145" s="61" t="str">
        <f t="shared" si="1"/>
        <v xml:space="preserve">Sasolburg Gas Engines Power Plant </v>
      </c>
      <c r="E145" s="61" t="str">
        <f t="shared" si="1"/>
        <v>Gas</v>
      </c>
      <c r="F145" s="61" t="str">
        <f t="shared" si="1"/>
        <v>January-December 2017</v>
      </c>
      <c r="G145" s="82">
        <v>0.66524179094710534</v>
      </c>
      <c r="H145" s="61">
        <f t="shared" si="3"/>
        <v>140.00006582261338</v>
      </c>
      <c r="I145" s="61">
        <f>I108*3.6</f>
        <v>2937070.4976000004</v>
      </c>
      <c r="J145" s="120">
        <f>I145/'SASOL Commodities'!L35</f>
        <v>6675160.2218181826</v>
      </c>
      <c r="K145" s="61">
        <f>0.56*J145</f>
        <v>3738089.7242181827</v>
      </c>
    </row>
    <row r="146" spans="2:11" x14ac:dyDescent="0.25">
      <c r="B146" s="61" t="str">
        <f t="shared" si="2"/>
        <v>Sasol South Africa (Pty) Limited</v>
      </c>
      <c r="C146" s="61" t="str">
        <f t="shared" si="1"/>
        <v>Private</v>
      </c>
      <c r="D146" s="61" t="str">
        <f t="shared" si="1"/>
        <v>Sasol unit 543 Gas Turbines</v>
      </c>
      <c r="E146" s="61" t="str">
        <f t="shared" si="1"/>
        <v>Gas</v>
      </c>
      <c r="F146" s="61" t="str">
        <f t="shared" si="1"/>
        <v>January-December 2017</v>
      </c>
      <c r="G146" s="82">
        <v>0.84523013100272038</v>
      </c>
      <c r="H146" s="61">
        <f>I109/8760/G146</f>
        <v>239.99999724209562</v>
      </c>
      <c r="I146" s="232">
        <f>I109*3.6</f>
        <v>6397242.5051999995</v>
      </c>
      <c r="J146" s="120">
        <f>I146/0.3</f>
        <v>21324141.684</v>
      </c>
      <c r="K146" s="242">
        <f>0.56*J146</f>
        <v>11941519.343040001</v>
      </c>
    </row>
    <row r="147" spans="2:11" x14ac:dyDescent="0.25">
      <c r="G147" s="82"/>
      <c r="H147" s="82"/>
    </row>
    <row r="148" spans="2:11" x14ac:dyDescent="0.25">
      <c r="G148" s="82"/>
      <c r="H148" s="82"/>
    </row>
    <row r="149" spans="2:11" x14ac:dyDescent="0.25">
      <c r="I149" s="61" t="s">
        <v>566</v>
      </c>
    </row>
    <row r="150" spans="2:11" x14ac:dyDescent="0.25">
      <c r="B150" s="61" t="s">
        <v>460</v>
      </c>
      <c r="E150" s="61" t="s">
        <v>225</v>
      </c>
      <c r="I150" s="138">
        <f>(I106+I107)/1000</f>
        <v>4470.879015590579</v>
      </c>
    </row>
    <row r="151" spans="2:11" x14ac:dyDescent="0.25">
      <c r="B151" s="61" t="s">
        <v>460</v>
      </c>
      <c r="E151" s="61" t="s">
        <v>138</v>
      </c>
      <c r="I151" s="138">
        <f>SUM(I108:I109)/1000</f>
        <v>2592.8647229999997</v>
      </c>
    </row>
    <row r="152" spans="2:11" x14ac:dyDescent="0.25">
      <c r="F152" s="82"/>
    </row>
    <row r="153" spans="2:11" x14ac:dyDescent="0.25">
      <c r="F153" s="82"/>
    </row>
    <row r="154" spans="2:11" x14ac:dyDescent="0.25">
      <c r="F154" s="82"/>
    </row>
    <row r="155" spans="2:11" x14ac:dyDescent="0.25">
      <c r="F155" s="82"/>
    </row>
    <row r="156" spans="2:11" x14ac:dyDescent="0.25">
      <c r="B156" s="61" t="s">
        <v>525</v>
      </c>
      <c r="C156" s="61" t="s">
        <v>165</v>
      </c>
    </row>
    <row r="157" spans="2:11" x14ac:dyDescent="0.25">
      <c r="B157" s="82" t="s">
        <v>168</v>
      </c>
      <c r="C157" s="82">
        <v>600</v>
      </c>
      <c r="D157" s="82" t="s">
        <v>526</v>
      </c>
      <c r="E157" s="82" t="s">
        <v>131</v>
      </c>
    </row>
    <row r="158" spans="2:11" x14ac:dyDescent="0.25">
      <c r="B158" s="82" t="s">
        <v>527</v>
      </c>
      <c r="C158" s="82">
        <v>118</v>
      </c>
      <c r="D158" s="82" t="s">
        <v>526</v>
      </c>
      <c r="E158" s="82" t="s">
        <v>131</v>
      </c>
    </row>
    <row r="159" spans="2:11" x14ac:dyDescent="0.25">
      <c r="B159" s="82" t="s">
        <v>528</v>
      </c>
      <c r="C159" s="82">
        <v>118</v>
      </c>
      <c r="D159" s="82" t="s">
        <v>526</v>
      </c>
      <c r="E159" s="82" t="s">
        <v>131</v>
      </c>
    </row>
    <row r="160" spans="2:11" x14ac:dyDescent="0.25">
      <c r="B160" s="82" t="s">
        <v>529</v>
      </c>
      <c r="C160" s="82">
        <v>104</v>
      </c>
      <c r="D160" s="82" t="s">
        <v>526</v>
      </c>
      <c r="E160" s="82" t="s">
        <v>131</v>
      </c>
    </row>
    <row r="161" spans="2:5" x14ac:dyDescent="0.25">
      <c r="B161" s="82" t="s">
        <v>529</v>
      </c>
      <c r="C161" s="82">
        <v>104</v>
      </c>
      <c r="D161" s="82" t="s">
        <v>526</v>
      </c>
      <c r="E161" s="82" t="s">
        <v>131</v>
      </c>
    </row>
    <row r="162" spans="2:5" x14ac:dyDescent="0.25">
      <c r="B162" s="82" t="s">
        <v>530</v>
      </c>
      <c r="C162" s="82">
        <v>140</v>
      </c>
      <c r="D162" s="82" t="s">
        <v>531</v>
      </c>
      <c r="E162" s="82" t="s">
        <v>532</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B1:P135" xr:uid="{EC8FA7E9-6DD0-42BB-93B4-0AAA20A08A04}">
    <filterColumn colId="2">
      <filters>
        <filter val="Sasol Chemical Industries Plant"/>
        <filter val="Sasol Synfuels Steam Plant"/>
        <filter val="Sasol unit 543 Gas Turbines"/>
        <filter val="Sasolburg Gas Engines Power Plant"/>
      </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FB21-FE00-4627-A2F7-56A7121354BA}">
  <dimension ref="A2:AF116"/>
  <sheetViews>
    <sheetView zoomScale="90" zoomScaleNormal="90" workbookViewId="0">
      <pane xSplit="1" ySplit="4" topLeftCell="B59" activePane="bottomRight" state="frozen"/>
      <selection pane="topRight" activeCell="B1" sqref="B1"/>
      <selection pane="bottomLeft" activeCell="A5" sqref="A5"/>
      <selection pane="bottomRight" activeCell="AA81" sqref="AA81"/>
    </sheetView>
  </sheetViews>
  <sheetFormatPr defaultRowHeight="15" x14ac:dyDescent="0.25"/>
  <cols>
    <col min="1" max="1" width="53.33203125" style="61" customWidth="1"/>
    <col min="2" max="18" width="9.33203125" style="61"/>
    <col min="19" max="19" width="9.33203125" style="86"/>
    <col min="20" max="256" width="9.33203125" style="61"/>
    <col min="257" max="257" width="53.33203125" style="61" customWidth="1"/>
    <col min="258" max="512" width="9.33203125" style="61"/>
    <col min="513" max="513" width="53.33203125" style="61" customWidth="1"/>
    <col min="514" max="768" width="9.33203125" style="61"/>
    <col min="769" max="769" width="53.33203125" style="61" customWidth="1"/>
    <col min="770" max="1024" width="9.33203125" style="61"/>
    <col min="1025" max="1025" width="53.33203125" style="61" customWidth="1"/>
    <col min="1026" max="1280" width="9.33203125" style="61"/>
    <col min="1281" max="1281" width="53.33203125" style="61" customWidth="1"/>
    <col min="1282" max="1536" width="9.33203125" style="61"/>
    <col min="1537" max="1537" width="53.33203125" style="61" customWidth="1"/>
    <col min="1538" max="1792" width="9.33203125" style="61"/>
    <col min="1793" max="1793" width="53.33203125" style="61" customWidth="1"/>
    <col min="1794" max="2048" width="9.33203125" style="61"/>
    <col min="2049" max="2049" width="53.33203125" style="61" customWidth="1"/>
    <col min="2050" max="2304" width="9.33203125" style="61"/>
    <col min="2305" max="2305" width="53.33203125" style="61" customWidth="1"/>
    <col min="2306" max="2560" width="9.33203125" style="61"/>
    <col min="2561" max="2561" width="53.33203125" style="61" customWidth="1"/>
    <col min="2562" max="2816" width="9.33203125" style="61"/>
    <col min="2817" max="2817" width="53.33203125" style="61" customWidth="1"/>
    <col min="2818" max="3072" width="9.33203125" style="61"/>
    <col min="3073" max="3073" width="53.33203125" style="61" customWidth="1"/>
    <col min="3074" max="3328" width="9.33203125" style="61"/>
    <col min="3329" max="3329" width="53.33203125" style="61" customWidth="1"/>
    <col min="3330" max="3584" width="9.33203125" style="61"/>
    <col min="3585" max="3585" width="53.33203125" style="61" customWidth="1"/>
    <col min="3586" max="3840" width="9.33203125" style="61"/>
    <col min="3841" max="3841" width="53.33203125" style="61" customWidth="1"/>
    <col min="3842" max="4096" width="9.33203125" style="61"/>
    <col min="4097" max="4097" width="53.33203125" style="61" customWidth="1"/>
    <col min="4098" max="4352" width="9.33203125" style="61"/>
    <col min="4353" max="4353" width="53.33203125" style="61" customWidth="1"/>
    <col min="4354" max="4608" width="9.33203125" style="61"/>
    <col min="4609" max="4609" width="53.33203125" style="61" customWidth="1"/>
    <col min="4610" max="4864" width="9.33203125" style="61"/>
    <col min="4865" max="4865" width="53.33203125" style="61" customWidth="1"/>
    <col min="4866" max="5120" width="9.33203125" style="61"/>
    <col min="5121" max="5121" width="53.33203125" style="61" customWidth="1"/>
    <col min="5122" max="5376" width="9.33203125" style="61"/>
    <col min="5377" max="5377" width="53.33203125" style="61" customWidth="1"/>
    <col min="5378" max="5632" width="9.33203125" style="61"/>
    <col min="5633" max="5633" width="53.33203125" style="61" customWidth="1"/>
    <col min="5634" max="5888" width="9.33203125" style="61"/>
    <col min="5889" max="5889" width="53.33203125" style="61" customWidth="1"/>
    <col min="5890" max="6144" width="9.33203125" style="61"/>
    <col min="6145" max="6145" width="53.33203125" style="61" customWidth="1"/>
    <col min="6146" max="6400" width="9.33203125" style="61"/>
    <col min="6401" max="6401" width="53.33203125" style="61" customWidth="1"/>
    <col min="6402" max="6656" width="9.33203125" style="61"/>
    <col min="6657" max="6657" width="53.33203125" style="61" customWidth="1"/>
    <col min="6658" max="6912" width="9.33203125" style="61"/>
    <col min="6913" max="6913" width="53.33203125" style="61" customWidth="1"/>
    <col min="6914" max="7168" width="9.33203125" style="61"/>
    <col min="7169" max="7169" width="53.33203125" style="61" customWidth="1"/>
    <col min="7170" max="7424" width="9.33203125" style="61"/>
    <col min="7425" max="7425" width="53.33203125" style="61" customWidth="1"/>
    <col min="7426" max="7680" width="9.33203125" style="61"/>
    <col min="7681" max="7681" width="53.33203125" style="61" customWidth="1"/>
    <col min="7682" max="7936" width="9.33203125" style="61"/>
    <col min="7937" max="7937" width="53.33203125" style="61" customWidth="1"/>
    <col min="7938" max="8192" width="9.33203125" style="61"/>
    <col min="8193" max="8193" width="53.33203125" style="61" customWidth="1"/>
    <col min="8194" max="8448" width="9.33203125" style="61"/>
    <col min="8449" max="8449" width="53.33203125" style="61" customWidth="1"/>
    <col min="8450" max="8704" width="9.33203125" style="61"/>
    <col min="8705" max="8705" width="53.33203125" style="61" customWidth="1"/>
    <col min="8706" max="8960" width="9.33203125" style="61"/>
    <col min="8961" max="8961" width="53.33203125" style="61" customWidth="1"/>
    <col min="8962" max="9216" width="9.33203125" style="61"/>
    <col min="9217" max="9217" width="53.33203125" style="61" customWidth="1"/>
    <col min="9218" max="9472" width="9.33203125" style="61"/>
    <col min="9473" max="9473" width="53.33203125" style="61" customWidth="1"/>
    <col min="9474" max="9728" width="9.33203125" style="61"/>
    <col min="9729" max="9729" width="53.33203125" style="61" customWidth="1"/>
    <col min="9730" max="9984" width="9.33203125" style="61"/>
    <col min="9985" max="9985" width="53.33203125" style="61" customWidth="1"/>
    <col min="9986" max="10240" width="9.33203125" style="61"/>
    <col min="10241" max="10241" width="53.33203125" style="61" customWidth="1"/>
    <col min="10242" max="10496" width="9.33203125" style="61"/>
    <col min="10497" max="10497" width="53.33203125" style="61" customWidth="1"/>
    <col min="10498" max="10752" width="9.33203125" style="61"/>
    <col min="10753" max="10753" width="53.33203125" style="61" customWidth="1"/>
    <col min="10754" max="11008" width="9.33203125" style="61"/>
    <col min="11009" max="11009" width="53.33203125" style="61" customWidth="1"/>
    <col min="11010" max="11264" width="9.33203125" style="61"/>
    <col min="11265" max="11265" width="53.33203125" style="61" customWidth="1"/>
    <col min="11266" max="11520" width="9.33203125" style="61"/>
    <col min="11521" max="11521" width="53.33203125" style="61" customWidth="1"/>
    <col min="11522" max="11776" width="9.33203125" style="61"/>
    <col min="11777" max="11777" width="53.33203125" style="61" customWidth="1"/>
    <col min="11778" max="12032" width="9.33203125" style="61"/>
    <col min="12033" max="12033" width="53.33203125" style="61" customWidth="1"/>
    <col min="12034" max="12288" width="9.33203125" style="61"/>
    <col min="12289" max="12289" width="53.33203125" style="61" customWidth="1"/>
    <col min="12290" max="12544" width="9.33203125" style="61"/>
    <col min="12545" max="12545" width="53.33203125" style="61" customWidth="1"/>
    <col min="12546" max="12800" width="9.33203125" style="61"/>
    <col min="12801" max="12801" width="53.33203125" style="61" customWidth="1"/>
    <col min="12802" max="13056" width="9.33203125" style="61"/>
    <col min="13057" max="13057" width="53.33203125" style="61" customWidth="1"/>
    <col min="13058" max="13312" width="9.33203125" style="61"/>
    <col min="13313" max="13313" width="53.33203125" style="61" customWidth="1"/>
    <col min="13314" max="13568" width="9.33203125" style="61"/>
    <col min="13569" max="13569" width="53.33203125" style="61" customWidth="1"/>
    <col min="13570" max="13824" width="9.33203125" style="61"/>
    <col min="13825" max="13825" width="53.33203125" style="61" customWidth="1"/>
    <col min="13826" max="14080" width="9.33203125" style="61"/>
    <col min="14081" max="14081" width="53.33203125" style="61" customWidth="1"/>
    <col min="14082" max="14336" width="9.33203125" style="61"/>
    <col min="14337" max="14337" width="53.33203125" style="61" customWidth="1"/>
    <col min="14338" max="14592" width="9.33203125" style="61"/>
    <col min="14593" max="14593" width="53.33203125" style="61" customWidth="1"/>
    <col min="14594" max="14848" width="9.33203125" style="61"/>
    <col min="14849" max="14849" width="53.33203125" style="61" customWidth="1"/>
    <col min="14850" max="15104" width="9.33203125" style="61"/>
    <col min="15105" max="15105" width="53.33203125" style="61" customWidth="1"/>
    <col min="15106" max="15360" width="9.33203125" style="61"/>
    <col min="15361" max="15361" width="53.33203125" style="61" customWidth="1"/>
    <col min="15362" max="15616" width="9.33203125" style="61"/>
    <col min="15617" max="15617" width="53.33203125" style="61" customWidth="1"/>
    <col min="15618" max="15872" width="9.33203125" style="61"/>
    <col min="15873" max="15873" width="53.33203125" style="61" customWidth="1"/>
    <col min="15874" max="16128" width="9.33203125" style="61"/>
    <col min="16129" max="16129" width="53.33203125" style="61" customWidth="1"/>
    <col min="16130" max="16384" width="9.33203125" style="61"/>
  </cols>
  <sheetData>
    <row r="2" spans="1:32" ht="15.75" thickBot="1" x14ac:dyDescent="0.3">
      <c r="A2" s="85" t="s">
        <v>533</v>
      </c>
    </row>
    <row r="3" spans="1:32" x14ac:dyDescent="0.25">
      <c r="B3" s="267" t="s">
        <v>534</v>
      </c>
      <c r="C3" s="268"/>
      <c r="D3" s="268"/>
      <c r="E3" s="268"/>
      <c r="F3" s="268"/>
      <c r="G3" s="268"/>
      <c r="H3" s="268"/>
      <c r="I3" s="268"/>
      <c r="J3" s="268"/>
      <c r="K3" s="268"/>
      <c r="L3" s="268"/>
      <c r="M3" s="268"/>
      <c r="N3" s="269"/>
      <c r="O3" s="270" t="s">
        <v>535</v>
      </c>
      <c r="P3" s="271"/>
      <c r="Q3" s="271"/>
      <c r="R3" s="271"/>
      <c r="S3" s="271"/>
      <c r="T3" s="271"/>
      <c r="U3" s="271"/>
      <c r="V3" s="271"/>
      <c r="W3" s="271"/>
      <c r="X3" s="271"/>
      <c r="Y3" s="271"/>
      <c r="Z3" s="271"/>
      <c r="AA3" s="271"/>
      <c r="AB3" s="271"/>
      <c r="AC3" s="271"/>
      <c r="AD3" s="271"/>
      <c r="AE3" s="271"/>
    </row>
    <row r="4" spans="1:32" x14ac:dyDescent="0.25">
      <c r="A4" s="87" t="s">
        <v>536</v>
      </c>
      <c r="B4" s="88">
        <v>2000</v>
      </c>
      <c r="C4" s="89">
        <v>2001</v>
      </c>
      <c r="D4" s="89">
        <v>2002</v>
      </c>
      <c r="E4" s="89">
        <v>2003</v>
      </c>
      <c r="F4" s="89">
        <v>2004</v>
      </c>
      <c r="G4" s="89">
        <v>2005</v>
      </c>
      <c r="H4" s="89">
        <v>2006</v>
      </c>
      <c r="I4" s="89">
        <v>2007</v>
      </c>
      <c r="J4" s="89">
        <v>2008</v>
      </c>
      <c r="K4" s="89">
        <v>2009</v>
      </c>
      <c r="L4" s="89">
        <v>2010</v>
      </c>
      <c r="M4" s="89">
        <v>2011</v>
      </c>
      <c r="N4" s="90">
        <v>2012</v>
      </c>
      <c r="O4" s="87">
        <v>2013</v>
      </c>
      <c r="P4" s="87">
        <v>2014</v>
      </c>
      <c r="Q4" s="87">
        <v>2015</v>
      </c>
      <c r="R4" s="87">
        <v>2016</v>
      </c>
      <c r="S4" s="91">
        <v>2017</v>
      </c>
      <c r="T4" s="87">
        <v>2018</v>
      </c>
      <c r="U4" s="87">
        <v>2019</v>
      </c>
      <c r="V4" s="87">
        <v>2020</v>
      </c>
      <c r="W4" s="87">
        <v>2021</v>
      </c>
      <c r="X4" s="87">
        <v>2022</v>
      </c>
      <c r="Y4" s="87">
        <v>2023</v>
      </c>
      <c r="Z4" s="87">
        <v>2024</v>
      </c>
      <c r="AA4" s="87">
        <v>2025</v>
      </c>
      <c r="AB4" s="87">
        <v>2026</v>
      </c>
      <c r="AC4" s="87">
        <v>2027</v>
      </c>
      <c r="AD4" s="87">
        <v>2028</v>
      </c>
      <c r="AE4" s="87">
        <v>2029</v>
      </c>
      <c r="AF4" s="87" t="s">
        <v>537</v>
      </c>
    </row>
    <row r="5" spans="1:32" x14ac:dyDescent="0.25">
      <c r="A5" s="87"/>
      <c r="B5" s="88"/>
      <c r="C5" s="89"/>
      <c r="D5" s="89"/>
      <c r="E5" s="89"/>
      <c r="F5" s="89"/>
      <c r="G5" s="89"/>
      <c r="H5" s="89"/>
      <c r="I5" s="89"/>
      <c r="J5" s="89"/>
      <c r="K5" s="89"/>
      <c r="L5" s="89"/>
      <c r="M5" s="89"/>
      <c r="N5" s="92"/>
    </row>
    <row r="6" spans="1:32" x14ac:dyDescent="0.25">
      <c r="A6" s="61" t="s">
        <v>538</v>
      </c>
      <c r="B6" s="93">
        <v>0</v>
      </c>
      <c r="C6" s="94">
        <v>0</v>
      </c>
      <c r="D6" s="94">
        <v>0</v>
      </c>
      <c r="E6" s="94">
        <v>0</v>
      </c>
      <c r="F6" s="94">
        <v>41.2</v>
      </c>
      <c r="G6" s="94">
        <v>79.3</v>
      </c>
      <c r="H6" s="94">
        <v>92.3</v>
      </c>
      <c r="I6" s="94">
        <v>92.899999999999977</v>
      </c>
      <c r="J6" s="94">
        <v>104.7</v>
      </c>
      <c r="K6" s="94">
        <v>96.000000000000014</v>
      </c>
      <c r="L6" s="94">
        <v>115.39999999999999</v>
      </c>
      <c r="M6" s="94">
        <v>125.1</v>
      </c>
      <c r="N6" s="95">
        <v>136.6</v>
      </c>
      <c r="O6" s="96">
        <v>142.675918</v>
      </c>
      <c r="P6" s="96">
        <v>149.6564295</v>
      </c>
      <c r="Q6" s="96">
        <v>154.64507550000002</v>
      </c>
      <c r="R6" s="96">
        <v>156</v>
      </c>
      <c r="S6" s="97">
        <v>156</v>
      </c>
      <c r="T6" s="96">
        <v>156</v>
      </c>
      <c r="U6" s="96">
        <v>156</v>
      </c>
      <c r="V6" s="96">
        <v>156</v>
      </c>
      <c r="W6" s="96">
        <v>156</v>
      </c>
      <c r="X6" s="96">
        <v>156</v>
      </c>
      <c r="Y6" s="96">
        <v>156</v>
      </c>
      <c r="Z6" s="96">
        <v>156</v>
      </c>
      <c r="AA6" s="96">
        <v>156</v>
      </c>
      <c r="AB6" s="96">
        <v>156</v>
      </c>
      <c r="AC6" s="96">
        <v>156</v>
      </c>
      <c r="AD6" s="96">
        <v>156</v>
      </c>
      <c r="AE6" s="96">
        <v>156</v>
      </c>
    </row>
    <row r="7" spans="1:32" x14ac:dyDescent="0.25">
      <c r="A7" s="61" t="s">
        <v>539</v>
      </c>
      <c r="B7" s="98">
        <v>16.260000000000002</v>
      </c>
      <c r="C7" s="99">
        <v>16.72</v>
      </c>
      <c r="D7" s="99">
        <v>18.800000000000004</v>
      </c>
      <c r="E7" s="94">
        <v>19.700000000000003</v>
      </c>
      <c r="F7" s="94">
        <v>17.700000000000003</v>
      </c>
      <c r="G7" s="94">
        <v>16.600000000000001</v>
      </c>
      <c r="H7" s="94">
        <v>19.599999999999998</v>
      </c>
      <c r="I7" s="94">
        <v>22.400000000000002</v>
      </c>
      <c r="J7" s="94">
        <v>23.2</v>
      </c>
      <c r="K7" s="94">
        <v>21.6</v>
      </c>
      <c r="L7" s="94">
        <v>22.100000000000005</v>
      </c>
      <c r="M7" s="94">
        <v>25.2</v>
      </c>
      <c r="N7" s="95">
        <v>21.9</v>
      </c>
      <c r="O7" s="96">
        <v>21</v>
      </c>
      <c r="P7" s="96">
        <v>21</v>
      </c>
      <c r="Q7" s="96">
        <v>21</v>
      </c>
      <c r="R7" s="96">
        <v>21</v>
      </c>
      <c r="S7" s="97">
        <v>21</v>
      </c>
      <c r="T7" s="96">
        <v>21</v>
      </c>
      <c r="U7" s="96">
        <v>21</v>
      </c>
      <c r="V7" s="96">
        <v>21</v>
      </c>
      <c r="W7" s="96">
        <v>21</v>
      </c>
      <c r="X7" s="96">
        <v>21</v>
      </c>
      <c r="Y7" s="96">
        <v>21</v>
      </c>
      <c r="Z7" s="96">
        <v>21</v>
      </c>
      <c r="AA7" s="96">
        <v>21</v>
      </c>
      <c r="AB7" s="96">
        <v>21</v>
      </c>
      <c r="AC7" s="96">
        <v>21</v>
      </c>
      <c r="AD7" s="96">
        <v>21</v>
      </c>
      <c r="AE7" s="96">
        <v>21</v>
      </c>
    </row>
    <row r="8" spans="1:32" x14ac:dyDescent="0.25">
      <c r="A8" s="61" t="s">
        <v>540</v>
      </c>
      <c r="B8" s="98">
        <v>24.389999999999997</v>
      </c>
      <c r="C8" s="99">
        <v>25.98</v>
      </c>
      <c r="D8" s="99">
        <v>27.5</v>
      </c>
      <c r="E8" s="94">
        <v>28.1</v>
      </c>
      <c r="F8" s="94">
        <v>11.299999999999999</v>
      </c>
      <c r="G8" s="94">
        <v>0</v>
      </c>
      <c r="H8" s="94">
        <v>0</v>
      </c>
      <c r="I8" s="94">
        <v>0</v>
      </c>
      <c r="J8" s="94">
        <v>0</v>
      </c>
      <c r="K8" s="94">
        <v>0</v>
      </c>
      <c r="L8" s="94">
        <v>0</v>
      </c>
      <c r="M8" s="94">
        <v>0</v>
      </c>
      <c r="N8" s="92">
        <v>0</v>
      </c>
      <c r="O8" s="61">
        <v>0</v>
      </c>
      <c r="P8" s="61">
        <v>0</v>
      </c>
      <c r="Q8" s="61">
        <v>0</v>
      </c>
      <c r="R8" s="61">
        <v>0</v>
      </c>
    </row>
    <row r="9" spans="1:32" ht="15.75" thickBot="1" x14ac:dyDescent="0.3">
      <c r="A9" s="100" t="s">
        <v>541</v>
      </c>
      <c r="B9" s="101">
        <v>40.65</v>
      </c>
      <c r="C9" s="102">
        <v>42.7</v>
      </c>
      <c r="D9" s="102">
        <v>46.300000000000004</v>
      </c>
      <c r="E9" s="102">
        <v>47.800000000000004</v>
      </c>
      <c r="F9" s="102">
        <v>70.2</v>
      </c>
      <c r="G9" s="102">
        <v>95.9</v>
      </c>
      <c r="H9" s="102">
        <v>111.89999999999999</v>
      </c>
      <c r="I9" s="102">
        <v>115.29999999999998</v>
      </c>
      <c r="J9" s="102">
        <v>127.9</v>
      </c>
      <c r="K9" s="102">
        <v>117.60000000000002</v>
      </c>
      <c r="L9" s="102">
        <v>137.5</v>
      </c>
      <c r="M9" s="102">
        <v>150.29999999999998</v>
      </c>
      <c r="N9" s="103">
        <v>158.5</v>
      </c>
      <c r="O9" s="104">
        <v>163.675918</v>
      </c>
      <c r="P9" s="104">
        <v>170.6564295</v>
      </c>
      <c r="Q9" s="104">
        <v>175.64507550000002</v>
      </c>
      <c r="R9" s="104">
        <v>177</v>
      </c>
      <c r="S9" s="105">
        <v>177</v>
      </c>
      <c r="T9" s="104">
        <v>177</v>
      </c>
      <c r="U9" s="104">
        <v>177</v>
      </c>
      <c r="V9" s="104">
        <v>177</v>
      </c>
      <c r="W9" s="104">
        <v>177</v>
      </c>
      <c r="X9" s="104">
        <v>177</v>
      </c>
      <c r="Y9" s="104">
        <v>177</v>
      </c>
      <c r="Z9" s="104">
        <v>177</v>
      </c>
      <c r="AA9" s="104">
        <v>177</v>
      </c>
      <c r="AB9" s="104">
        <v>177</v>
      </c>
      <c r="AC9" s="104">
        <v>177</v>
      </c>
      <c r="AD9" s="104">
        <v>177</v>
      </c>
      <c r="AE9" s="104">
        <v>177</v>
      </c>
    </row>
    <row r="10" spans="1:32" ht="15.75" thickTop="1" x14ac:dyDescent="0.25">
      <c r="B10" s="93"/>
      <c r="C10" s="94"/>
      <c r="D10" s="94"/>
      <c r="E10" s="94"/>
      <c r="F10" s="94"/>
      <c r="G10" s="94"/>
      <c r="H10" s="94"/>
      <c r="I10" s="94"/>
      <c r="J10" s="94"/>
      <c r="K10" s="94"/>
      <c r="L10" s="94"/>
      <c r="M10" s="94"/>
      <c r="N10" s="92"/>
    </row>
    <row r="11" spans="1:32" x14ac:dyDescent="0.25">
      <c r="A11" s="61" t="s">
        <v>141</v>
      </c>
      <c r="B11" s="93">
        <v>0</v>
      </c>
      <c r="C11" s="94">
        <v>0</v>
      </c>
      <c r="D11" s="94">
        <v>0</v>
      </c>
      <c r="E11" s="94">
        <v>0</v>
      </c>
      <c r="F11" s="99">
        <v>27.7</v>
      </c>
      <c r="G11" s="99">
        <v>48.3</v>
      </c>
      <c r="H11" s="99">
        <v>59.5</v>
      </c>
      <c r="I11" s="99">
        <v>58.600000000000009</v>
      </c>
      <c r="J11" s="99">
        <v>71.400000000000006</v>
      </c>
      <c r="K11" s="99">
        <v>56.2</v>
      </c>
      <c r="L11" s="99">
        <v>78.099999999999994</v>
      </c>
      <c r="M11" s="99">
        <v>86.100000000000009</v>
      </c>
      <c r="N11" s="106">
        <v>99.399999999999991</v>
      </c>
      <c r="O11" s="107">
        <v>99</v>
      </c>
      <c r="P11" s="107">
        <v>99.084356499999998</v>
      </c>
      <c r="Q11" s="107">
        <v>101.8810285</v>
      </c>
      <c r="R11" s="107">
        <v>103.2671685</v>
      </c>
      <c r="S11" s="108">
        <v>103.50101000000001</v>
      </c>
      <c r="T11" s="107">
        <v>103.3431315</v>
      </c>
      <c r="U11" s="107">
        <v>102.92763450000001</v>
      </c>
      <c r="V11" s="107">
        <v>103.1319915</v>
      </c>
      <c r="W11" s="107">
        <v>103.22834700000001</v>
      </c>
      <c r="X11" s="107">
        <v>102.894738</v>
      </c>
      <c r="Y11" s="107">
        <v>102.894738</v>
      </c>
      <c r="Z11" s="107">
        <v>102.894738</v>
      </c>
      <c r="AA11" s="107">
        <v>102.894738</v>
      </c>
      <c r="AB11" s="107">
        <v>102.894738</v>
      </c>
      <c r="AC11" s="107">
        <v>102.894738</v>
      </c>
      <c r="AD11" s="107">
        <v>102.894738</v>
      </c>
      <c r="AE11" s="107">
        <v>102.9</v>
      </c>
    </row>
    <row r="12" spans="1:32" x14ac:dyDescent="0.25">
      <c r="A12" s="61" t="s">
        <v>542</v>
      </c>
      <c r="B12" s="98">
        <v>40.65</v>
      </c>
      <c r="C12" s="94">
        <v>42.7</v>
      </c>
      <c r="D12" s="94">
        <v>46.29999999999999</v>
      </c>
      <c r="E12" s="94">
        <v>47.800000000000004</v>
      </c>
      <c r="F12" s="94">
        <v>42.5</v>
      </c>
      <c r="G12" s="94">
        <v>47.600000000000009</v>
      </c>
      <c r="H12" s="94">
        <v>52.399999999999991</v>
      </c>
      <c r="I12" s="94">
        <v>56.699999999999996</v>
      </c>
      <c r="J12" s="94">
        <v>56.499999999999993</v>
      </c>
      <c r="K12" s="94">
        <v>61.399999999999991</v>
      </c>
      <c r="L12" s="94">
        <v>59.4</v>
      </c>
      <c r="M12" s="94">
        <v>64.2</v>
      </c>
      <c r="N12" s="95">
        <v>59.099999999999994</v>
      </c>
      <c r="O12" s="96">
        <v>64.7</v>
      </c>
      <c r="P12" s="96">
        <v>71.572073000000003</v>
      </c>
      <c r="Q12" s="96">
        <v>73.764047000000005</v>
      </c>
      <c r="R12" s="96">
        <v>73.732831500000003</v>
      </c>
      <c r="S12" s="97">
        <v>73.498989999999992</v>
      </c>
      <c r="T12" s="96">
        <v>73.656868500000002</v>
      </c>
      <c r="U12" s="96">
        <v>74.072365499999989</v>
      </c>
      <c r="V12" s="96">
        <v>73.868008500000002</v>
      </c>
      <c r="W12" s="96">
        <v>73.771652999999986</v>
      </c>
      <c r="X12" s="96">
        <v>74.105261999999996</v>
      </c>
      <c r="Y12" s="96">
        <v>74.105261999999996</v>
      </c>
      <c r="Z12" s="96">
        <v>74.105261999999996</v>
      </c>
      <c r="AA12" s="96">
        <v>74.105261999999996</v>
      </c>
      <c r="AB12" s="96">
        <v>74.105261999999996</v>
      </c>
      <c r="AC12" s="96">
        <v>74.105261999999996</v>
      </c>
      <c r="AD12" s="96">
        <v>74.105261999999996</v>
      </c>
      <c r="AE12" s="96">
        <v>74.099999999999994</v>
      </c>
    </row>
    <row r="13" spans="1:32" ht="15.75" thickBot="1" x14ac:dyDescent="0.3">
      <c r="A13" s="100" t="s">
        <v>543</v>
      </c>
      <c r="B13" s="109">
        <v>40.65</v>
      </c>
      <c r="C13" s="110">
        <v>42.7</v>
      </c>
      <c r="D13" s="110">
        <v>46.29999999999999</v>
      </c>
      <c r="E13" s="110">
        <v>47.800000000000004</v>
      </c>
      <c r="F13" s="110">
        <v>70.2</v>
      </c>
      <c r="G13" s="110">
        <v>95.9</v>
      </c>
      <c r="H13" s="110">
        <v>111.89999999999999</v>
      </c>
      <c r="I13" s="110">
        <v>115.30000000000001</v>
      </c>
      <c r="J13" s="110">
        <v>127.9</v>
      </c>
      <c r="K13" s="110">
        <v>117.6</v>
      </c>
      <c r="L13" s="110">
        <v>137.5</v>
      </c>
      <c r="M13" s="111">
        <v>150.30000000000001</v>
      </c>
      <c r="N13" s="112">
        <v>158.5</v>
      </c>
      <c r="O13" s="104">
        <v>163.675918</v>
      </c>
      <c r="P13" s="104">
        <v>170.6564295</v>
      </c>
      <c r="Q13" s="104">
        <v>175.64507550000002</v>
      </c>
      <c r="R13" s="104">
        <v>177</v>
      </c>
      <c r="S13" s="105">
        <v>177</v>
      </c>
      <c r="T13" s="104">
        <v>177</v>
      </c>
      <c r="U13" s="104">
        <v>177</v>
      </c>
      <c r="V13" s="104">
        <v>177</v>
      </c>
      <c r="W13" s="104">
        <v>177</v>
      </c>
      <c r="X13" s="104">
        <v>177</v>
      </c>
      <c r="Y13" s="104">
        <v>177</v>
      </c>
      <c r="Z13" s="104">
        <v>177</v>
      </c>
      <c r="AA13" s="104">
        <v>177</v>
      </c>
      <c r="AB13" s="104">
        <v>177</v>
      </c>
      <c r="AC13" s="104">
        <v>177</v>
      </c>
      <c r="AD13" s="104">
        <v>177</v>
      </c>
      <c r="AE13" s="104">
        <v>177</v>
      </c>
    </row>
    <row r="14" spans="1:32" ht="15.75" thickTop="1" x14ac:dyDescent="0.25">
      <c r="N14" s="113"/>
      <c r="X14" s="113" t="s">
        <v>537</v>
      </c>
    </row>
    <row r="15" spans="1:32" x14ac:dyDescent="0.25">
      <c r="A15" s="114"/>
      <c r="B15" s="114"/>
      <c r="C15" s="114"/>
      <c r="D15" s="114"/>
    </row>
    <row r="16" spans="1:32" x14ac:dyDescent="0.25">
      <c r="A16" s="87" t="s">
        <v>544</v>
      </c>
      <c r="B16" s="87"/>
      <c r="C16" s="87"/>
      <c r="D16" s="87"/>
      <c r="E16" s="87"/>
      <c r="F16" s="115">
        <v>12.383529411764705</v>
      </c>
      <c r="G16" s="115">
        <v>18.405658716375999</v>
      </c>
      <c r="H16" s="115">
        <v>19.814608602355751</v>
      </c>
      <c r="I16" s="115">
        <v>24.386509827722719</v>
      </c>
      <c r="J16" s="115">
        <v>30.95831846085872</v>
      </c>
      <c r="K16" s="115">
        <v>29.277743797845172</v>
      </c>
      <c r="L16" s="115">
        <v>34.29203757777271</v>
      </c>
      <c r="M16" s="115">
        <v>49.367247748161347</v>
      </c>
      <c r="N16" s="116">
        <v>55.426891201513719</v>
      </c>
      <c r="O16" s="117">
        <v>47</v>
      </c>
      <c r="P16" s="117">
        <v>44.203977999999999</v>
      </c>
      <c r="Q16" s="117">
        <v>44.482379999999999</v>
      </c>
      <c r="R16" s="117">
        <v>44.482379999999999</v>
      </c>
      <c r="S16" s="118">
        <v>44.482379999999999</v>
      </c>
      <c r="T16" s="117">
        <v>44.482379999999999</v>
      </c>
      <c r="U16" s="117">
        <v>44.203978499999998</v>
      </c>
      <c r="V16" s="117">
        <v>44.203978499999998</v>
      </c>
      <c r="W16" s="117">
        <v>44.482379999999999</v>
      </c>
      <c r="X16" s="117">
        <v>44.482379999999999</v>
      </c>
      <c r="Y16" s="117">
        <v>44.482379999999999</v>
      </c>
      <c r="Z16" s="117">
        <v>44.482379999999999</v>
      </c>
      <c r="AA16" s="117">
        <v>44.482379999999999</v>
      </c>
      <c r="AB16" s="117">
        <v>44.482379999999999</v>
      </c>
      <c r="AC16" s="117">
        <v>44.482379999999999</v>
      </c>
      <c r="AD16" s="117">
        <v>44.482379999999999</v>
      </c>
      <c r="AE16" s="117">
        <v>44.5</v>
      </c>
    </row>
    <row r="17" spans="1:31" x14ac:dyDescent="0.25">
      <c r="A17" s="119" t="s">
        <v>144</v>
      </c>
      <c r="B17" s="119"/>
      <c r="C17" s="119"/>
      <c r="D17" s="119"/>
      <c r="F17" s="120">
        <v>12.383529411764705</v>
      </c>
      <c r="G17" s="120">
        <v>18.405658716375999</v>
      </c>
      <c r="H17" s="120">
        <v>19.814608602355751</v>
      </c>
      <c r="I17" s="120">
        <v>24.386509827722719</v>
      </c>
      <c r="J17" s="120">
        <v>30.95831846085872</v>
      </c>
      <c r="K17" s="120">
        <v>29.277743797845172</v>
      </c>
      <c r="L17" s="120">
        <v>25.692037577772709</v>
      </c>
      <c r="M17" s="120">
        <v>29.214455771339416</v>
      </c>
      <c r="N17" s="120">
        <v>35.843917628508351</v>
      </c>
      <c r="O17" s="120">
        <v>27</v>
      </c>
      <c r="P17" s="120">
        <v>24.203977999999999</v>
      </c>
      <c r="Q17" s="120">
        <v>24.482379999999999</v>
      </c>
      <c r="R17" s="120">
        <v>24.482379999999999</v>
      </c>
      <c r="S17" s="121">
        <v>24.482379999999999</v>
      </c>
      <c r="T17" s="120">
        <v>24.482379999999999</v>
      </c>
      <c r="U17" s="120">
        <v>24.203978499999998</v>
      </c>
      <c r="V17" s="120">
        <v>24.203978499999998</v>
      </c>
      <c r="W17" s="120">
        <v>24.482379999999999</v>
      </c>
      <c r="X17" s="120">
        <v>24.482379999999999</v>
      </c>
      <c r="Y17" s="120">
        <v>24.482379999999999</v>
      </c>
      <c r="Z17" s="120">
        <v>24.482379999999999</v>
      </c>
      <c r="AA17" s="120">
        <v>24.482379999999999</v>
      </c>
      <c r="AB17" s="120">
        <v>24.482379999999999</v>
      </c>
      <c r="AC17" s="120">
        <v>24.482379999999999</v>
      </c>
      <c r="AD17" s="120">
        <v>24.482379999999999</v>
      </c>
      <c r="AE17" s="120">
        <v>24.5</v>
      </c>
    </row>
    <row r="18" spans="1:31" x14ac:dyDescent="0.25">
      <c r="A18" s="119" t="s">
        <v>145</v>
      </c>
      <c r="B18" s="119"/>
      <c r="C18" s="119"/>
      <c r="D18" s="119"/>
      <c r="F18" s="120">
        <v>0</v>
      </c>
      <c r="G18" s="120">
        <v>0</v>
      </c>
      <c r="H18" s="120">
        <v>0</v>
      </c>
      <c r="I18" s="120">
        <v>0</v>
      </c>
      <c r="J18" s="120">
        <v>0</v>
      </c>
      <c r="K18" s="120">
        <v>0</v>
      </c>
      <c r="L18" s="120">
        <v>8.6</v>
      </c>
      <c r="M18" s="120">
        <v>17.399999999999999</v>
      </c>
      <c r="N18" s="122">
        <v>17.899999999999999</v>
      </c>
      <c r="O18" s="120">
        <v>20</v>
      </c>
      <c r="P18" s="120">
        <v>20</v>
      </c>
      <c r="Q18" s="120">
        <v>20</v>
      </c>
      <c r="R18" s="120">
        <v>20</v>
      </c>
      <c r="S18" s="121">
        <v>20</v>
      </c>
      <c r="T18" s="120">
        <v>20</v>
      </c>
      <c r="U18" s="120">
        <v>20</v>
      </c>
      <c r="V18" s="120">
        <v>20</v>
      </c>
      <c r="W18" s="120">
        <v>20</v>
      </c>
      <c r="X18" s="120">
        <v>20</v>
      </c>
      <c r="Y18" s="120">
        <v>20</v>
      </c>
      <c r="Z18" s="120">
        <v>20</v>
      </c>
      <c r="AA18" s="120">
        <v>20</v>
      </c>
      <c r="AB18" s="120">
        <v>20</v>
      </c>
      <c r="AC18" s="120">
        <v>20</v>
      </c>
      <c r="AD18" s="120">
        <v>20</v>
      </c>
      <c r="AE18" s="120">
        <v>20</v>
      </c>
    </row>
    <row r="19" spans="1:31" x14ac:dyDescent="0.25">
      <c r="A19" s="87" t="s">
        <v>545</v>
      </c>
      <c r="B19" s="87"/>
      <c r="C19" s="87"/>
      <c r="D19" s="87"/>
      <c r="E19" s="87"/>
      <c r="F19" s="115">
        <v>0</v>
      </c>
      <c r="G19" s="115">
        <v>0</v>
      </c>
      <c r="H19" s="115">
        <v>0</v>
      </c>
      <c r="I19" s="115">
        <v>0</v>
      </c>
      <c r="J19" s="115">
        <v>0</v>
      </c>
      <c r="K19" s="115">
        <v>0</v>
      </c>
      <c r="L19" s="115">
        <v>0</v>
      </c>
      <c r="M19" s="115">
        <v>0</v>
      </c>
      <c r="N19" s="115">
        <v>0.4</v>
      </c>
      <c r="O19" s="117">
        <v>8.3303775000000009</v>
      </c>
      <c r="P19" s="117">
        <v>10.911993500000001</v>
      </c>
      <c r="Q19" s="117">
        <v>10.912750000000001</v>
      </c>
      <c r="R19" s="117">
        <v>10.912750000000001</v>
      </c>
      <c r="S19" s="118">
        <v>10.912750000000001</v>
      </c>
      <c r="T19" s="117">
        <v>10.912750000000001</v>
      </c>
      <c r="U19" s="117">
        <v>10.912750000000001</v>
      </c>
      <c r="V19" s="117">
        <v>10.912750000000001</v>
      </c>
      <c r="W19" s="117">
        <v>10.912750000000001</v>
      </c>
      <c r="X19" s="117">
        <v>10.912750000000001</v>
      </c>
      <c r="Y19" s="117">
        <v>10.912750000000001</v>
      </c>
      <c r="Z19" s="117">
        <v>10.912750000000001</v>
      </c>
      <c r="AA19" s="117">
        <v>10.912750000000001</v>
      </c>
      <c r="AB19" s="117">
        <v>10.912750000000001</v>
      </c>
      <c r="AC19" s="117">
        <v>10.912750000000001</v>
      </c>
      <c r="AD19" s="117">
        <v>10.912750000000001</v>
      </c>
      <c r="AE19" s="117">
        <v>10.9</v>
      </c>
    </row>
    <row r="20" spans="1:31" x14ac:dyDescent="0.25">
      <c r="A20" s="119" t="s">
        <v>146</v>
      </c>
      <c r="B20" s="119"/>
      <c r="C20" s="119"/>
      <c r="D20" s="119"/>
      <c r="F20" s="120">
        <v>0</v>
      </c>
      <c r="G20" s="120">
        <v>0</v>
      </c>
      <c r="H20" s="120">
        <v>0</v>
      </c>
      <c r="I20" s="120">
        <v>0</v>
      </c>
      <c r="J20" s="120">
        <v>0</v>
      </c>
      <c r="K20" s="120">
        <v>0</v>
      </c>
      <c r="L20" s="120">
        <v>0</v>
      </c>
      <c r="M20" s="120">
        <v>0</v>
      </c>
      <c r="N20" s="120">
        <v>0.4</v>
      </c>
      <c r="O20" s="120">
        <v>8.3303775000000009</v>
      </c>
      <c r="P20" s="120">
        <v>10.911993500000001</v>
      </c>
      <c r="Q20" s="120">
        <v>10.912750000000001</v>
      </c>
      <c r="R20" s="120">
        <v>10.912750000000001</v>
      </c>
      <c r="S20" s="121">
        <v>10.912750000000001</v>
      </c>
      <c r="T20" s="120">
        <v>10.912750000000001</v>
      </c>
      <c r="U20" s="120">
        <v>10.912750000000001</v>
      </c>
      <c r="V20" s="120">
        <v>10.912750000000001</v>
      </c>
      <c r="W20" s="120">
        <v>10.912750000000001</v>
      </c>
      <c r="X20" s="120">
        <v>10.912750000000001</v>
      </c>
      <c r="Y20" s="120">
        <v>10.912750000000001</v>
      </c>
      <c r="Z20" s="120">
        <v>10.912750000000001</v>
      </c>
      <c r="AA20" s="120">
        <v>10.912750000000001</v>
      </c>
      <c r="AB20" s="120">
        <v>10.912750000000001</v>
      </c>
      <c r="AC20" s="120">
        <v>10.912750000000001</v>
      </c>
      <c r="AD20" s="120">
        <v>10.912750000000001</v>
      </c>
      <c r="AE20" s="120">
        <v>10.9</v>
      </c>
    </row>
    <row r="21" spans="1:31" x14ac:dyDescent="0.25">
      <c r="A21" s="87" t="s">
        <v>546</v>
      </c>
      <c r="B21" s="87"/>
      <c r="C21" s="87"/>
      <c r="D21" s="87"/>
      <c r="F21" s="115">
        <v>15.316470588235294</v>
      </c>
      <c r="G21" s="115">
        <v>29.894341283623994</v>
      </c>
      <c r="H21" s="115">
        <v>39.685391397644246</v>
      </c>
      <c r="I21" s="115">
        <v>34.213490172277268</v>
      </c>
      <c r="J21" s="115">
        <v>40.441681539141271</v>
      </c>
      <c r="K21" s="115">
        <v>26.92225620215482</v>
      </c>
      <c r="L21" s="115">
        <v>43.807962422227291</v>
      </c>
      <c r="M21" s="115">
        <v>36.732752251838662</v>
      </c>
      <c r="N21" s="115">
        <v>43.6</v>
      </c>
      <c r="O21" s="115">
        <v>43.7</v>
      </c>
      <c r="P21" s="115">
        <v>43.968384999999998</v>
      </c>
      <c r="Q21" s="115">
        <v>46.485898500000005</v>
      </c>
      <c r="R21" s="115">
        <v>47.872038500000002</v>
      </c>
      <c r="S21" s="123">
        <v>48.105879999999999</v>
      </c>
      <c r="T21" s="115">
        <v>47.948001500000004</v>
      </c>
      <c r="U21" s="115">
        <v>47.810906000000003</v>
      </c>
      <c r="V21" s="115">
        <v>48.015263000000004</v>
      </c>
      <c r="W21" s="115">
        <v>47.833217000000005</v>
      </c>
      <c r="X21" s="115">
        <v>47.499608000000002</v>
      </c>
      <c r="Y21" s="115">
        <v>47.499608000000002</v>
      </c>
      <c r="Z21" s="115">
        <v>47.499608000000002</v>
      </c>
      <c r="AA21" s="115">
        <v>47.499608000000002</v>
      </c>
      <c r="AB21" s="115">
        <v>47.499608000000002</v>
      </c>
      <c r="AC21" s="115">
        <v>47.499608000000002</v>
      </c>
      <c r="AD21" s="115">
        <v>47.499608000000002</v>
      </c>
      <c r="AE21" s="115">
        <v>47.5</v>
      </c>
    </row>
    <row r="22" spans="1:31" x14ac:dyDescent="0.25">
      <c r="A22" s="119" t="s">
        <v>143</v>
      </c>
      <c r="B22" s="119"/>
      <c r="C22" s="119"/>
      <c r="D22" s="119"/>
      <c r="F22" s="120">
        <v>15.316470588235294</v>
      </c>
      <c r="G22" s="120">
        <v>29.894341283623994</v>
      </c>
      <c r="H22" s="120">
        <v>39.685391397644246</v>
      </c>
      <c r="I22" s="120">
        <v>34.213490172277268</v>
      </c>
      <c r="J22" s="120">
        <v>40.441681539141271</v>
      </c>
      <c r="K22" s="120">
        <v>26.92225620215482</v>
      </c>
      <c r="L22" s="120">
        <v>43.807962422227291</v>
      </c>
      <c r="M22" s="120">
        <v>36.732752251838647</v>
      </c>
      <c r="N22" s="120">
        <v>43.6</v>
      </c>
      <c r="O22" s="120">
        <v>43.7</v>
      </c>
      <c r="P22" s="120">
        <v>43.968384999999998</v>
      </c>
      <c r="Q22" s="120">
        <v>46.485898500000005</v>
      </c>
      <c r="R22" s="120">
        <v>47.872038500000002</v>
      </c>
      <c r="S22" s="121">
        <v>48.105879999999999</v>
      </c>
      <c r="T22" s="120">
        <v>47.948001500000004</v>
      </c>
      <c r="U22" s="120">
        <v>47.810906000000003</v>
      </c>
      <c r="V22" s="120">
        <v>48.015263000000004</v>
      </c>
      <c r="W22" s="120">
        <v>47.833217000000005</v>
      </c>
      <c r="X22" s="120">
        <v>47.499608000000002</v>
      </c>
      <c r="Y22" s="120">
        <v>47.499608000000002</v>
      </c>
      <c r="Z22" s="120">
        <v>47.499608000000002</v>
      </c>
      <c r="AA22" s="120">
        <v>47.499608000000002</v>
      </c>
      <c r="AB22" s="120">
        <v>47.499608000000002</v>
      </c>
      <c r="AC22" s="120">
        <v>47.499608000000002</v>
      </c>
      <c r="AD22" s="120">
        <v>47.499608000000002</v>
      </c>
      <c r="AE22" s="120">
        <v>47.5</v>
      </c>
    </row>
    <row r="23" spans="1:31" x14ac:dyDescent="0.25">
      <c r="A23" s="114"/>
      <c r="S23" s="61"/>
    </row>
    <row r="24" spans="1:31" x14ac:dyDescent="0.25">
      <c r="A24" s="114"/>
      <c r="K24" s="120" t="s">
        <v>537</v>
      </c>
      <c r="L24" s="120" t="s">
        <v>537</v>
      </c>
      <c r="M24" s="120" t="s">
        <v>537</v>
      </c>
      <c r="N24" s="120" t="s">
        <v>537</v>
      </c>
      <c r="O24" s="120" t="s">
        <v>537</v>
      </c>
      <c r="S24" s="61"/>
      <c r="AB24" s="124" t="s">
        <v>537</v>
      </c>
    </row>
    <row r="25" spans="1:31" x14ac:dyDescent="0.25">
      <c r="A25" s="114" t="s">
        <v>547</v>
      </c>
      <c r="S25" s="61"/>
    </row>
    <row r="26" spans="1:31" x14ac:dyDescent="0.25">
      <c r="S26" s="61"/>
    </row>
    <row r="27" spans="1:31" x14ac:dyDescent="0.25">
      <c r="A27" s="61" t="s">
        <v>548</v>
      </c>
      <c r="S27" s="61"/>
    </row>
    <row r="28" spans="1:31" x14ac:dyDescent="0.25">
      <c r="A28" s="61" t="s">
        <v>549</v>
      </c>
      <c r="S28" s="61"/>
    </row>
    <row r="29" spans="1:31" x14ac:dyDescent="0.25">
      <c r="A29" s="61" t="s">
        <v>550</v>
      </c>
      <c r="S29" s="61"/>
    </row>
    <row r="30" spans="1:31" x14ac:dyDescent="0.25">
      <c r="A30" s="61" t="s">
        <v>551</v>
      </c>
      <c r="S30" s="61"/>
    </row>
    <row r="31" spans="1:31" x14ac:dyDescent="0.25">
      <c r="A31" s="61" t="s">
        <v>552</v>
      </c>
      <c r="S31" s="61"/>
    </row>
    <row r="32" spans="1:31" x14ac:dyDescent="0.25">
      <c r="A32" s="61" t="s">
        <v>553</v>
      </c>
      <c r="S32" s="61"/>
    </row>
    <row r="33" spans="1:31" x14ac:dyDescent="0.25">
      <c r="A33" s="61" t="s">
        <v>554</v>
      </c>
      <c r="S33" s="61"/>
    </row>
    <row r="34" spans="1:31" x14ac:dyDescent="0.25">
      <c r="S34" s="61"/>
    </row>
    <row r="35" spans="1:31" s="125" customFormat="1" x14ac:dyDescent="0.25"/>
    <row r="36" spans="1:31" s="125" customFormat="1" ht="15.75" x14ac:dyDescent="0.25">
      <c r="A36" s="126" t="s">
        <v>555</v>
      </c>
      <c r="S36" s="127" t="s">
        <v>556</v>
      </c>
    </row>
    <row r="38" spans="1:31" x14ac:dyDescent="0.25">
      <c r="A38" s="114" t="s">
        <v>557</v>
      </c>
      <c r="B38" s="241" t="s">
        <v>105</v>
      </c>
      <c r="S38" s="120">
        <f>S77*$B$70*$B$67</f>
        <v>191.2568</v>
      </c>
    </row>
    <row r="39" spans="1:31" x14ac:dyDescent="0.25">
      <c r="A39" s="114" t="s">
        <v>558</v>
      </c>
      <c r="B39" s="241" t="s">
        <v>105</v>
      </c>
      <c r="S39" s="120">
        <f>S78*$B$70*$B$67</f>
        <v>26.633599999999998</v>
      </c>
    </row>
    <row r="40" spans="1:31" x14ac:dyDescent="0.25">
      <c r="A40" s="114" t="s">
        <v>559</v>
      </c>
      <c r="C40" s="114"/>
      <c r="D40" s="114"/>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row>
    <row r="41" spans="1:31" x14ac:dyDescent="0.25">
      <c r="A41" s="119" t="s">
        <v>560</v>
      </c>
      <c r="B41" s="241" t="s">
        <v>105</v>
      </c>
      <c r="S41" s="120">
        <f>S83*$B$70*$B$67</f>
        <v>26.7484</v>
      </c>
    </row>
    <row r="42" spans="1:31" x14ac:dyDescent="0.25">
      <c r="A42" s="119" t="s">
        <v>561</v>
      </c>
      <c r="B42" s="241" t="s">
        <v>105</v>
      </c>
      <c r="S42" s="120">
        <f>S84*$B$70*$B$67</f>
        <v>38.458000000000006</v>
      </c>
    </row>
    <row r="43" spans="1:31" x14ac:dyDescent="0.25">
      <c r="S43" s="120"/>
    </row>
    <row r="44" spans="1:31" x14ac:dyDescent="0.25">
      <c r="A44" s="114" t="s">
        <v>141</v>
      </c>
      <c r="S44" s="120"/>
    </row>
    <row r="45" spans="1:31" x14ac:dyDescent="0.25">
      <c r="A45" s="61" t="s">
        <v>114</v>
      </c>
      <c r="B45" s="241" t="s">
        <v>105</v>
      </c>
      <c r="S45" s="120">
        <f>S79*$B$70*$B$67</f>
        <v>34.095599999999997</v>
      </c>
    </row>
    <row r="46" spans="1:31" x14ac:dyDescent="0.25">
      <c r="A46" s="61" t="s">
        <v>115</v>
      </c>
      <c r="B46" s="241" t="s">
        <v>105</v>
      </c>
      <c r="S46" s="120">
        <f>S80*$B$70*$B$67</f>
        <v>40.8688</v>
      </c>
    </row>
    <row r="47" spans="1:31" x14ac:dyDescent="0.25">
      <c r="A47" s="61" t="s">
        <v>113</v>
      </c>
      <c r="B47" s="241" t="s">
        <v>105</v>
      </c>
      <c r="S47" s="120">
        <f>S81*$B$70*$B$67</f>
        <v>51.200800000000008</v>
      </c>
    </row>
    <row r="48" spans="1:31" x14ac:dyDescent="0.25">
      <c r="B48" s="241"/>
      <c r="S48" s="120"/>
    </row>
    <row r="49" spans="1:31" x14ac:dyDescent="0.25">
      <c r="A49" s="128" t="s">
        <v>562</v>
      </c>
      <c r="S49" s="115">
        <f>SUM(S45:S47)</f>
        <v>126.1652</v>
      </c>
      <c r="T49" s="115"/>
    </row>
    <row r="50" spans="1:31" x14ac:dyDescent="0.25">
      <c r="A50" s="114" t="s">
        <v>563</v>
      </c>
      <c r="B50" s="241" t="s">
        <v>105</v>
      </c>
      <c r="C50" s="114"/>
      <c r="D50" s="114"/>
      <c r="F50" s="129">
        <f t="shared" ref="F50:AE50" si="0">SUM(F16,F19,F21)</f>
        <v>27.7</v>
      </c>
      <c r="G50" s="129">
        <f t="shared" si="0"/>
        <v>48.3</v>
      </c>
      <c r="H50" s="129">
        <f t="shared" si="0"/>
        <v>59.5</v>
      </c>
      <c r="I50" s="129">
        <f t="shared" si="0"/>
        <v>58.599999999999987</v>
      </c>
      <c r="J50" s="129">
        <f t="shared" si="0"/>
        <v>71.399999999999991</v>
      </c>
      <c r="K50" s="129">
        <f t="shared" si="0"/>
        <v>56.199999999999989</v>
      </c>
      <c r="L50" s="129">
        <f t="shared" si="0"/>
        <v>78.099999999999994</v>
      </c>
      <c r="M50" s="129">
        <f t="shared" si="0"/>
        <v>86.100000000000009</v>
      </c>
      <c r="N50" s="129">
        <f t="shared" si="0"/>
        <v>99.426891201513712</v>
      </c>
      <c r="O50" s="120">
        <f t="shared" si="0"/>
        <v>99.0303775</v>
      </c>
      <c r="P50" s="120">
        <f t="shared" si="0"/>
        <v>99.084356499999998</v>
      </c>
      <c r="Q50" s="120">
        <f t="shared" si="0"/>
        <v>101.88102850000001</v>
      </c>
      <c r="R50" s="120">
        <f t="shared" si="0"/>
        <v>103.2671685</v>
      </c>
      <c r="S50" s="121">
        <f t="shared" si="0"/>
        <v>103.50101000000001</v>
      </c>
      <c r="T50" s="120">
        <f t="shared" si="0"/>
        <v>103.3431315</v>
      </c>
      <c r="U50" s="120">
        <f t="shared" si="0"/>
        <v>102.92763450000001</v>
      </c>
      <c r="V50" s="120">
        <f t="shared" si="0"/>
        <v>103.1319915</v>
      </c>
      <c r="W50" s="120">
        <f t="shared" si="0"/>
        <v>103.22834700000001</v>
      </c>
      <c r="X50" s="120">
        <f t="shared" si="0"/>
        <v>102.894738</v>
      </c>
      <c r="Y50" s="120">
        <f t="shared" si="0"/>
        <v>102.894738</v>
      </c>
      <c r="Z50" s="120">
        <f t="shared" si="0"/>
        <v>102.894738</v>
      </c>
      <c r="AA50" s="120">
        <f t="shared" si="0"/>
        <v>102.894738</v>
      </c>
      <c r="AB50" s="120">
        <f t="shared" si="0"/>
        <v>102.894738</v>
      </c>
      <c r="AC50" s="120">
        <f t="shared" si="0"/>
        <v>102.894738</v>
      </c>
      <c r="AD50" s="120">
        <f t="shared" si="0"/>
        <v>102.894738</v>
      </c>
      <c r="AE50" s="120">
        <f t="shared" si="0"/>
        <v>102.9</v>
      </c>
    </row>
    <row r="51" spans="1:31" x14ac:dyDescent="0.25">
      <c r="S51" s="61"/>
    </row>
    <row r="52" spans="1:31" x14ac:dyDescent="0.25">
      <c r="A52" s="87" t="s">
        <v>544</v>
      </c>
      <c r="F52" s="130">
        <f>F16/SUM(F$16,F$19,F$21)</f>
        <v>0.44705882352941173</v>
      </c>
      <c r="G52" s="130">
        <f t="shared" ref="G52:AE52" si="1">G16/SUM(G$16,G$19,G$21)</f>
        <v>0.38106953864132503</v>
      </c>
      <c r="H52" s="130">
        <f t="shared" si="1"/>
        <v>0.33301863197236559</v>
      </c>
      <c r="I52" s="130">
        <f t="shared" si="1"/>
        <v>0.41615204484168472</v>
      </c>
      <c r="J52" s="130">
        <f t="shared" si="1"/>
        <v>0.43358989440978607</v>
      </c>
      <c r="K52" s="130">
        <f t="shared" si="1"/>
        <v>0.5209562953353235</v>
      </c>
      <c r="L52" s="130">
        <f t="shared" si="1"/>
        <v>0.4390785861430565</v>
      </c>
      <c r="M52" s="130">
        <f t="shared" si="1"/>
        <v>0.57337105398561372</v>
      </c>
      <c r="N52" s="130">
        <f t="shared" si="1"/>
        <v>0.5574637860211995</v>
      </c>
      <c r="O52" s="131">
        <f>O16/SUM(O$16,O$19,O$21)</f>
        <v>0.4746018462870143</v>
      </c>
      <c r="P52" s="131">
        <f t="shared" si="1"/>
        <v>0.44612469174182912</v>
      </c>
      <c r="Q52" s="131">
        <f t="shared" si="1"/>
        <v>0.43661102223756992</v>
      </c>
      <c r="R52" s="131">
        <f t="shared" si="1"/>
        <v>0.43075045676303209</v>
      </c>
      <c r="S52" s="132">
        <f t="shared" si="1"/>
        <v>0.42977725531374039</v>
      </c>
      <c r="T52" s="131">
        <f t="shared" si="1"/>
        <v>0.43043383100888521</v>
      </c>
      <c r="U52" s="131">
        <f t="shared" si="1"/>
        <v>0.42946657343028705</v>
      </c>
      <c r="V52" s="131">
        <f t="shared" si="1"/>
        <v>0.4286155814221817</v>
      </c>
      <c r="W52" s="131">
        <f t="shared" si="1"/>
        <v>0.43091245082128454</v>
      </c>
      <c r="X52" s="131">
        <f t="shared" si="1"/>
        <v>0.43230957058270558</v>
      </c>
      <c r="Y52" s="131">
        <f t="shared" si="1"/>
        <v>0.43230957058270558</v>
      </c>
      <c r="Z52" s="131">
        <f t="shared" si="1"/>
        <v>0.43230957058270558</v>
      </c>
      <c r="AA52" s="131">
        <f t="shared" si="1"/>
        <v>0.43230957058270558</v>
      </c>
      <c r="AB52" s="131">
        <f t="shared" si="1"/>
        <v>0.43230957058270558</v>
      </c>
      <c r="AC52" s="131">
        <f t="shared" si="1"/>
        <v>0.43230957058270558</v>
      </c>
      <c r="AD52" s="131">
        <f t="shared" si="1"/>
        <v>0.43230957058270558</v>
      </c>
      <c r="AE52" s="131">
        <f t="shared" si="1"/>
        <v>0.43245869776482021</v>
      </c>
    </row>
    <row r="53" spans="1:31" x14ac:dyDescent="0.25">
      <c r="A53" s="119" t="s">
        <v>144</v>
      </c>
      <c r="F53" s="133">
        <f>F17/F$16</f>
        <v>1</v>
      </c>
      <c r="G53" s="133">
        <f t="shared" ref="G53:AE54" si="2">G17/G$16</f>
        <v>1</v>
      </c>
      <c r="H53" s="133">
        <f t="shared" si="2"/>
        <v>1</v>
      </c>
      <c r="I53" s="133">
        <f t="shared" si="2"/>
        <v>1</v>
      </c>
      <c r="J53" s="133">
        <f t="shared" si="2"/>
        <v>1</v>
      </c>
      <c r="K53" s="133">
        <f t="shared" si="2"/>
        <v>1</v>
      </c>
      <c r="L53" s="133">
        <f t="shared" si="2"/>
        <v>0.74921291916540067</v>
      </c>
      <c r="M53" s="133">
        <f t="shared" si="2"/>
        <v>0.59177809385631575</v>
      </c>
      <c r="N53" s="133">
        <f t="shared" si="2"/>
        <v>0.64668822031154161</v>
      </c>
      <c r="O53" s="134">
        <f t="shared" si="2"/>
        <v>0.57446808510638303</v>
      </c>
      <c r="P53" s="134">
        <f t="shared" si="2"/>
        <v>0.54755203253426643</v>
      </c>
      <c r="Q53" s="134">
        <f t="shared" si="2"/>
        <v>0.55038376993317351</v>
      </c>
      <c r="R53" s="134">
        <f t="shared" si="2"/>
        <v>0.55038376993317351</v>
      </c>
      <c r="S53" s="135">
        <f>S17/S$16</f>
        <v>0.55038376993317351</v>
      </c>
      <c r="T53" s="134">
        <f t="shared" si="2"/>
        <v>0.55038376993317351</v>
      </c>
      <c r="U53" s="134">
        <f t="shared" si="2"/>
        <v>0.54755203765199545</v>
      </c>
      <c r="V53" s="134">
        <f t="shared" si="2"/>
        <v>0.54755203765199545</v>
      </c>
      <c r="W53" s="134">
        <f t="shared" si="2"/>
        <v>0.55038376993317351</v>
      </c>
      <c r="X53" s="134">
        <f t="shared" si="2"/>
        <v>0.55038376993317351</v>
      </c>
      <c r="Y53" s="134">
        <f t="shared" si="2"/>
        <v>0.55038376993317351</v>
      </c>
      <c r="Z53" s="134">
        <f t="shared" si="2"/>
        <v>0.55038376993317351</v>
      </c>
      <c r="AA53" s="134">
        <f t="shared" si="2"/>
        <v>0.55038376993317351</v>
      </c>
      <c r="AB53" s="134">
        <f t="shared" si="2"/>
        <v>0.55038376993317351</v>
      </c>
      <c r="AC53" s="134">
        <f t="shared" si="2"/>
        <v>0.55038376993317351</v>
      </c>
      <c r="AD53" s="134">
        <f t="shared" si="2"/>
        <v>0.55038376993317351</v>
      </c>
      <c r="AE53" s="134">
        <f t="shared" si="2"/>
        <v>0.550561797752809</v>
      </c>
    </row>
    <row r="54" spans="1:31" x14ac:dyDescent="0.25">
      <c r="A54" s="119" t="s">
        <v>145</v>
      </c>
      <c r="F54" s="133">
        <f>F18/F$16</f>
        <v>0</v>
      </c>
      <c r="G54" s="133">
        <f t="shared" si="2"/>
        <v>0</v>
      </c>
      <c r="H54" s="133">
        <f t="shared" si="2"/>
        <v>0</v>
      </c>
      <c r="I54" s="133">
        <f t="shared" si="2"/>
        <v>0</v>
      </c>
      <c r="J54" s="133">
        <f t="shared" si="2"/>
        <v>0</v>
      </c>
      <c r="K54" s="133">
        <f t="shared" si="2"/>
        <v>0</v>
      </c>
      <c r="L54" s="133">
        <f t="shared" si="2"/>
        <v>0.25078708083459927</v>
      </c>
      <c r="M54" s="133">
        <f t="shared" si="2"/>
        <v>0.35246040226433428</v>
      </c>
      <c r="N54" s="133">
        <f t="shared" si="2"/>
        <v>0.3229479339716449</v>
      </c>
      <c r="O54" s="134">
        <f t="shared" si="2"/>
        <v>0.42553191489361702</v>
      </c>
      <c r="P54" s="134">
        <f t="shared" si="2"/>
        <v>0.45244796746573351</v>
      </c>
      <c r="Q54" s="134">
        <f t="shared" si="2"/>
        <v>0.44961623006682649</v>
      </c>
      <c r="R54" s="134">
        <f t="shared" si="2"/>
        <v>0.44961623006682649</v>
      </c>
      <c r="S54" s="135">
        <f t="shared" si="2"/>
        <v>0.44961623006682649</v>
      </c>
      <c r="T54" s="134">
        <f t="shared" si="2"/>
        <v>0.44961623006682649</v>
      </c>
      <c r="U54" s="134">
        <f t="shared" si="2"/>
        <v>0.4524479623480045</v>
      </c>
      <c r="V54" s="134">
        <f t="shared" si="2"/>
        <v>0.4524479623480045</v>
      </c>
      <c r="W54" s="134">
        <f t="shared" si="2"/>
        <v>0.44961623006682649</v>
      </c>
      <c r="X54" s="134">
        <f t="shared" si="2"/>
        <v>0.44961623006682649</v>
      </c>
      <c r="Y54" s="134">
        <f t="shared" si="2"/>
        <v>0.44961623006682649</v>
      </c>
      <c r="Z54" s="134">
        <f t="shared" si="2"/>
        <v>0.44961623006682649</v>
      </c>
      <c r="AA54" s="134">
        <f t="shared" si="2"/>
        <v>0.44961623006682649</v>
      </c>
      <c r="AB54" s="134">
        <f t="shared" si="2"/>
        <v>0.44961623006682649</v>
      </c>
      <c r="AC54" s="134">
        <f t="shared" si="2"/>
        <v>0.44961623006682649</v>
      </c>
      <c r="AD54" s="134">
        <f t="shared" si="2"/>
        <v>0.44961623006682649</v>
      </c>
      <c r="AE54" s="134">
        <f t="shared" si="2"/>
        <v>0.449438202247191</v>
      </c>
    </row>
    <row r="55" spans="1:31" x14ac:dyDescent="0.25">
      <c r="A55" s="87" t="s">
        <v>545</v>
      </c>
      <c r="F55" s="130">
        <f>F19/SUM(F$16,F$19,F$21)</f>
        <v>0</v>
      </c>
      <c r="G55" s="130">
        <f t="shared" ref="G55:AE55" si="3">G19/SUM(G$16,G$19,G$21)</f>
        <v>0</v>
      </c>
      <c r="H55" s="130">
        <f t="shared" si="3"/>
        <v>0</v>
      </c>
      <c r="I55" s="130">
        <f t="shared" si="3"/>
        <v>0</v>
      </c>
      <c r="J55" s="130">
        <f t="shared" si="3"/>
        <v>0</v>
      </c>
      <c r="K55" s="130">
        <f t="shared" si="3"/>
        <v>0</v>
      </c>
      <c r="L55" s="130">
        <f t="shared" si="3"/>
        <v>0</v>
      </c>
      <c r="M55" s="130">
        <f t="shared" si="3"/>
        <v>0</v>
      </c>
      <c r="N55" s="130">
        <f t="shared" si="3"/>
        <v>4.0230564907163691E-3</v>
      </c>
      <c r="O55" s="131">
        <f t="shared" si="3"/>
        <v>8.4119415782293677E-2</v>
      </c>
      <c r="P55" s="131">
        <f t="shared" si="3"/>
        <v>0.11012831778344345</v>
      </c>
      <c r="Q55" s="131">
        <f t="shared" si="3"/>
        <v>0.1071126799627862</v>
      </c>
      <c r="R55" s="131">
        <f t="shared" si="3"/>
        <v>0.10567492222854935</v>
      </c>
      <c r="S55" s="132">
        <f>S19/SUM(S$16,S$19,S$21)</f>
        <v>0.10543616917361483</v>
      </c>
      <c r="T55" s="131">
        <f t="shared" si="3"/>
        <v>0.1055972452315324</v>
      </c>
      <c r="U55" s="131">
        <f t="shared" si="3"/>
        <v>0.10602351888306535</v>
      </c>
      <c r="V55" s="131">
        <f t="shared" si="3"/>
        <v>0.1058134322946726</v>
      </c>
      <c r="W55" s="131">
        <f t="shared" si="3"/>
        <v>0.10571466382194418</v>
      </c>
      <c r="X55" s="131">
        <f t="shared" si="3"/>
        <v>0.10605741568631041</v>
      </c>
      <c r="Y55" s="131">
        <f t="shared" si="3"/>
        <v>0.10605741568631041</v>
      </c>
      <c r="Z55" s="131">
        <f t="shared" si="3"/>
        <v>0.10605741568631041</v>
      </c>
      <c r="AA55" s="131">
        <f t="shared" si="3"/>
        <v>0.10605741568631041</v>
      </c>
      <c r="AB55" s="131">
        <f t="shared" si="3"/>
        <v>0.10605741568631041</v>
      </c>
      <c r="AC55" s="131">
        <f t="shared" si="3"/>
        <v>0.10605741568631041</v>
      </c>
      <c r="AD55" s="131">
        <f t="shared" si="3"/>
        <v>0.10605741568631041</v>
      </c>
      <c r="AE55" s="131">
        <f t="shared" si="3"/>
        <v>0.10592808551992225</v>
      </c>
    </row>
    <row r="56" spans="1:31" x14ac:dyDescent="0.25">
      <c r="A56" s="119" t="s">
        <v>146</v>
      </c>
      <c r="F56" s="133">
        <f>IFERROR(F20/F$19,0)</f>
        <v>0</v>
      </c>
      <c r="G56" s="133">
        <f t="shared" ref="G56:AE56" si="4">IFERROR(G20/G$19,0)</f>
        <v>0</v>
      </c>
      <c r="H56" s="133">
        <f t="shared" si="4"/>
        <v>0</v>
      </c>
      <c r="I56" s="133">
        <f t="shared" si="4"/>
        <v>0</v>
      </c>
      <c r="J56" s="133">
        <f t="shared" si="4"/>
        <v>0</v>
      </c>
      <c r="K56" s="133">
        <f t="shared" si="4"/>
        <v>0</v>
      </c>
      <c r="L56" s="133">
        <f t="shared" si="4"/>
        <v>0</v>
      </c>
      <c r="M56" s="133">
        <f t="shared" si="4"/>
        <v>0</v>
      </c>
      <c r="N56" s="133">
        <f t="shared" si="4"/>
        <v>1</v>
      </c>
      <c r="O56" s="134">
        <f t="shared" si="4"/>
        <v>1</v>
      </c>
      <c r="P56" s="134">
        <f t="shared" si="4"/>
        <v>1</v>
      </c>
      <c r="Q56" s="134">
        <f t="shared" si="4"/>
        <v>1</v>
      </c>
      <c r="R56" s="134">
        <f t="shared" si="4"/>
        <v>1</v>
      </c>
      <c r="S56" s="135">
        <f t="shared" si="4"/>
        <v>1</v>
      </c>
      <c r="T56" s="134">
        <f t="shared" si="4"/>
        <v>1</v>
      </c>
      <c r="U56" s="134">
        <f t="shared" si="4"/>
        <v>1</v>
      </c>
      <c r="V56" s="134">
        <f t="shared" si="4"/>
        <v>1</v>
      </c>
      <c r="W56" s="134">
        <f t="shared" si="4"/>
        <v>1</v>
      </c>
      <c r="X56" s="134">
        <f t="shared" si="4"/>
        <v>1</v>
      </c>
      <c r="Y56" s="134">
        <f t="shared" si="4"/>
        <v>1</v>
      </c>
      <c r="Z56" s="134">
        <f t="shared" si="4"/>
        <v>1</v>
      </c>
      <c r="AA56" s="134">
        <f t="shared" si="4"/>
        <v>1</v>
      </c>
      <c r="AB56" s="134">
        <f t="shared" si="4"/>
        <v>1</v>
      </c>
      <c r="AC56" s="134">
        <f t="shared" si="4"/>
        <v>1</v>
      </c>
      <c r="AD56" s="134">
        <f t="shared" si="4"/>
        <v>1</v>
      </c>
      <c r="AE56" s="134">
        <f t="shared" si="4"/>
        <v>1</v>
      </c>
    </row>
    <row r="57" spans="1:31" x14ac:dyDescent="0.25">
      <c r="A57" s="87" t="s">
        <v>546</v>
      </c>
      <c r="F57" s="130">
        <f>F21/SUM(F$16,F$19,F$21)</f>
        <v>0.55294117647058827</v>
      </c>
      <c r="G57" s="130">
        <f t="shared" ref="G57:AE57" si="5">G21/SUM(G$16,G$19,G$21)</f>
        <v>0.61893046135867491</v>
      </c>
      <c r="H57" s="130">
        <f t="shared" si="5"/>
        <v>0.66698136802763441</v>
      </c>
      <c r="I57" s="130">
        <f t="shared" si="5"/>
        <v>0.58384795515831533</v>
      </c>
      <c r="J57" s="130">
        <f t="shared" si="5"/>
        <v>0.56641010559021399</v>
      </c>
      <c r="K57" s="130">
        <f t="shared" si="5"/>
        <v>0.47904370466467661</v>
      </c>
      <c r="L57" s="130">
        <f t="shared" si="5"/>
        <v>0.56092141385694361</v>
      </c>
      <c r="M57" s="130">
        <f t="shared" si="5"/>
        <v>0.42662894601438628</v>
      </c>
      <c r="N57" s="130">
        <f t="shared" si="5"/>
        <v>0.43851315748808428</v>
      </c>
      <c r="O57" s="131">
        <f t="shared" si="5"/>
        <v>0.44127873793069206</v>
      </c>
      <c r="P57" s="131">
        <f t="shared" si="5"/>
        <v>0.44374699047472743</v>
      </c>
      <c r="Q57" s="131">
        <f t="shared" si="5"/>
        <v>0.45627629779964379</v>
      </c>
      <c r="R57" s="131">
        <f t="shared" si="5"/>
        <v>0.46357462100841862</v>
      </c>
      <c r="S57" s="132">
        <f t="shared" si="5"/>
        <v>0.46478657551264468</v>
      </c>
      <c r="T57" s="131">
        <f t="shared" si="5"/>
        <v>0.46396892375958249</v>
      </c>
      <c r="U57" s="131">
        <f t="shared" si="5"/>
        <v>0.46450990768664752</v>
      </c>
      <c r="V57" s="131">
        <f t="shared" si="5"/>
        <v>0.46557098628314575</v>
      </c>
      <c r="W57" s="131">
        <f t="shared" si="5"/>
        <v>0.46337288535677124</v>
      </c>
      <c r="X57" s="131">
        <f t="shared" si="5"/>
        <v>0.46163301373098398</v>
      </c>
      <c r="Y57" s="131">
        <f t="shared" si="5"/>
        <v>0.46163301373098398</v>
      </c>
      <c r="Z57" s="131">
        <f t="shared" si="5"/>
        <v>0.46163301373098398</v>
      </c>
      <c r="AA57" s="131">
        <f t="shared" si="5"/>
        <v>0.46163301373098398</v>
      </c>
      <c r="AB57" s="131">
        <f t="shared" si="5"/>
        <v>0.46163301373098398</v>
      </c>
      <c r="AC57" s="131">
        <f t="shared" si="5"/>
        <v>0.46163301373098398</v>
      </c>
      <c r="AD57" s="131">
        <f t="shared" si="5"/>
        <v>0.46163301373098398</v>
      </c>
      <c r="AE57" s="131">
        <f t="shared" si="5"/>
        <v>0.46161321671525751</v>
      </c>
    </row>
    <row r="58" spans="1:31" x14ac:dyDescent="0.25">
      <c r="A58" s="119" t="s">
        <v>564</v>
      </c>
      <c r="F58" s="234">
        <f>F22/F21</f>
        <v>1</v>
      </c>
      <c r="G58" s="234">
        <f t="shared" ref="G58:AE58" si="6">G22/G21</f>
        <v>1</v>
      </c>
      <c r="H58" s="234">
        <f t="shared" si="6"/>
        <v>1</v>
      </c>
      <c r="I58" s="234">
        <f t="shared" si="6"/>
        <v>1</v>
      </c>
      <c r="J58" s="234">
        <f t="shared" si="6"/>
        <v>1</v>
      </c>
      <c r="K58" s="234">
        <f t="shared" si="6"/>
        <v>1</v>
      </c>
      <c r="L58" s="234">
        <f t="shared" si="6"/>
        <v>1</v>
      </c>
      <c r="M58" s="234">
        <f t="shared" si="6"/>
        <v>0.99999999999999967</v>
      </c>
      <c r="N58" s="234">
        <f t="shared" si="6"/>
        <v>1</v>
      </c>
      <c r="O58" s="234">
        <f t="shared" si="6"/>
        <v>1</v>
      </c>
      <c r="P58" s="234">
        <f t="shared" si="6"/>
        <v>1</v>
      </c>
      <c r="Q58" s="234">
        <f t="shared" si="6"/>
        <v>1</v>
      </c>
      <c r="R58" s="234">
        <f t="shared" si="6"/>
        <v>1</v>
      </c>
      <c r="S58" s="234">
        <f t="shared" si="6"/>
        <v>1</v>
      </c>
      <c r="T58" s="234">
        <f t="shared" si="6"/>
        <v>1</v>
      </c>
      <c r="U58" s="234">
        <f t="shared" si="6"/>
        <v>1</v>
      </c>
      <c r="V58" s="234">
        <f t="shared" si="6"/>
        <v>1</v>
      </c>
      <c r="W58" s="234">
        <f t="shared" si="6"/>
        <v>1</v>
      </c>
      <c r="X58" s="234">
        <f t="shared" si="6"/>
        <v>1</v>
      </c>
      <c r="Y58" s="234">
        <f t="shared" si="6"/>
        <v>1</v>
      </c>
      <c r="Z58" s="234">
        <f t="shared" si="6"/>
        <v>1</v>
      </c>
      <c r="AA58" s="234">
        <f t="shared" si="6"/>
        <v>1</v>
      </c>
      <c r="AB58" s="234">
        <f t="shared" si="6"/>
        <v>1</v>
      </c>
      <c r="AC58" s="234">
        <f t="shared" si="6"/>
        <v>1</v>
      </c>
      <c r="AD58" s="234">
        <f t="shared" si="6"/>
        <v>1</v>
      </c>
      <c r="AE58" s="234">
        <f t="shared" si="6"/>
        <v>1</v>
      </c>
    </row>
    <row r="59" spans="1:31" x14ac:dyDescent="0.25">
      <c r="A59" s="119"/>
      <c r="S59" s="61"/>
    </row>
    <row r="60" spans="1:31" x14ac:dyDescent="0.25">
      <c r="A60" s="119"/>
      <c r="S60" s="61"/>
    </row>
    <row r="61" spans="1:31" x14ac:dyDescent="0.25">
      <c r="A61" s="119" t="s">
        <v>144</v>
      </c>
      <c r="N61" s="135">
        <f>SUMIFS(N$16:N$22,$A$16:$A$22,$A61)/N$50</f>
        <v>0.36050526367018354</v>
      </c>
      <c r="O61" s="135"/>
      <c r="P61" s="135"/>
      <c r="Q61" s="135"/>
      <c r="R61" s="135"/>
      <c r="S61" s="135">
        <f>SUMIFS(S$16:S$22,$A$16:$A$22,$A61)/S$50</f>
        <v>0.23654242601110848</v>
      </c>
    </row>
    <row r="62" spans="1:31" x14ac:dyDescent="0.25">
      <c r="A62" s="119" t="s">
        <v>145</v>
      </c>
      <c r="N62" s="135">
        <f>SUMIFS(N$16:N$22,$A$16:$A$22,$A62)/N$50</f>
        <v>0.18003177795955752</v>
      </c>
      <c r="O62" s="135"/>
      <c r="P62" s="135"/>
      <c r="Q62" s="135"/>
      <c r="R62" s="135"/>
      <c r="S62" s="135">
        <f>SUMIFS(S$16:S$22,$A$16:$A$22,$A62)/S$50</f>
        <v>0.19323482930263192</v>
      </c>
    </row>
    <row r="63" spans="1:31" x14ac:dyDescent="0.25">
      <c r="A63" s="119" t="s">
        <v>146</v>
      </c>
      <c r="N63" s="135">
        <f>SUMIFS(N$16:N$22,$A$16:$A$22,$A63)/N$50</f>
        <v>4.0230564907163691E-3</v>
      </c>
      <c r="O63" s="135"/>
      <c r="P63" s="135"/>
      <c r="Q63" s="135"/>
      <c r="R63" s="135"/>
      <c r="S63" s="135">
        <f>SUMIFS(S$16:S$22,$A$16:$A$22,$A63)/S$50</f>
        <v>0.10543616917361483</v>
      </c>
    </row>
    <row r="64" spans="1:31" x14ac:dyDescent="0.25">
      <c r="A64" s="119" t="s">
        <v>143</v>
      </c>
      <c r="N64" s="135">
        <f>SUMIFS(N$16:N$22,$A$16:$A$22,$A64)/N$50</f>
        <v>0.43851315748808428</v>
      </c>
      <c r="O64" s="135"/>
      <c r="P64" s="135"/>
      <c r="Q64" s="135"/>
      <c r="R64" s="135"/>
      <c r="S64" s="135">
        <f>SUMIFS(S$16:S$22,$A$16:$A$22,$A64)/S$50</f>
        <v>0.46478657551264468</v>
      </c>
    </row>
    <row r="65" spans="1:21" x14ac:dyDescent="0.25">
      <c r="S65" s="61"/>
    </row>
    <row r="66" spans="1:21" x14ac:dyDescent="0.25">
      <c r="S66" s="233"/>
      <c r="T66" s="233"/>
      <c r="U66" s="233"/>
    </row>
    <row r="67" spans="1:21" x14ac:dyDescent="0.25">
      <c r="A67" s="49" t="s">
        <v>147</v>
      </c>
      <c r="B67" s="136">
        <v>41</v>
      </c>
      <c r="C67" s="49" t="s">
        <v>148</v>
      </c>
      <c r="D67" s="61" t="s">
        <v>149</v>
      </c>
      <c r="S67" s="233"/>
      <c r="T67" s="233"/>
      <c r="U67" s="233"/>
    </row>
    <row r="68" spans="1:21" x14ac:dyDescent="0.25">
      <c r="A68" s="61" t="s">
        <v>150</v>
      </c>
      <c r="B68" s="61">
        <v>1.0820000000000001</v>
      </c>
      <c r="C68" s="61" t="s">
        <v>151</v>
      </c>
      <c r="D68" s="61" t="s">
        <v>152</v>
      </c>
      <c r="S68" s="233"/>
      <c r="T68" s="233"/>
      <c r="U68" s="233"/>
    </row>
    <row r="69" spans="1:21" x14ac:dyDescent="0.25">
      <c r="B69" s="61">
        <f>B68</f>
        <v>1.0820000000000001</v>
      </c>
      <c r="C69" s="61" t="s">
        <v>153</v>
      </c>
      <c r="S69" s="233"/>
      <c r="T69" s="233"/>
      <c r="U69" s="233"/>
    </row>
    <row r="70" spans="1:21" x14ac:dyDescent="0.25">
      <c r="A70" s="49"/>
      <c r="B70" s="137">
        <v>2.8000000000000001E-2</v>
      </c>
      <c r="C70" s="49" t="s">
        <v>154</v>
      </c>
      <c r="D70" s="61" t="s">
        <v>155</v>
      </c>
      <c r="S70" s="233"/>
      <c r="T70" s="233"/>
      <c r="U70" s="233"/>
    </row>
    <row r="71" spans="1:21" x14ac:dyDescent="0.25">
      <c r="S71" s="61"/>
    </row>
    <row r="72" spans="1:21" x14ac:dyDescent="0.25">
      <c r="S72" s="61"/>
    </row>
    <row r="73" spans="1:21" x14ac:dyDescent="0.25">
      <c r="S73" s="61"/>
    </row>
    <row r="74" spans="1:21" x14ac:dyDescent="0.25">
      <c r="S74" s="61"/>
    </row>
    <row r="75" spans="1:21" x14ac:dyDescent="0.25">
      <c r="S75" s="61"/>
    </row>
    <row r="76" spans="1:21" x14ac:dyDescent="0.25">
      <c r="A76" s="61" t="s">
        <v>615</v>
      </c>
      <c r="S76" s="87" t="s">
        <v>158</v>
      </c>
    </row>
    <row r="77" spans="1:21" x14ac:dyDescent="0.25">
      <c r="A77" s="61" t="s">
        <v>610</v>
      </c>
      <c r="S77" s="240">
        <v>166.6</v>
      </c>
    </row>
    <row r="78" spans="1:21" x14ac:dyDescent="0.25">
      <c r="A78" s="61" t="s">
        <v>611</v>
      </c>
      <c r="S78" s="240">
        <v>23.2</v>
      </c>
    </row>
    <row r="79" spans="1:21" x14ac:dyDescent="0.25">
      <c r="A79" s="48" t="s">
        <v>114</v>
      </c>
      <c r="S79" s="240">
        <v>29.7</v>
      </c>
    </row>
    <row r="80" spans="1:21" x14ac:dyDescent="0.25">
      <c r="A80" s="48" t="s">
        <v>115</v>
      </c>
      <c r="S80" s="240">
        <v>35.6</v>
      </c>
    </row>
    <row r="81" spans="1:19" x14ac:dyDescent="0.25">
      <c r="A81" s="48" t="s">
        <v>113</v>
      </c>
      <c r="S81" s="240">
        <v>44.6</v>
      </c>
    </row>
    <row r="82" spans="1:19" x14ac:dyDescent="0.25">
      <c r="A82" s="61" t="s">
        <v>612</v>
      </c>
      <c r="S82" s="240"/>
    </row>
    <row r="83" spans="1:19" x14ac:dyDescent="0.25">
      <c r="A83" s="61" t="s">
        <v>613</v>
      </c>
      <c r="S83" s="240">
        <v>23.3</v>
      </c>
    </row>
    <row r="84" spans="1:19" x14ac:dyDescent="0.25">
      <c r="A84" s="61" t="s">
        <v>614</v>
      </c>
      <c r="S84" s="240">
        <v>33.5</v>
      </c>
    </row>
    <row r="85" spans="1:19" x14ac:dyDescent="0.25">
      <c r="S85" s="61"/>
    </row>
    <row r="86" spans="1:19" x14ac:dyDescent="0.25">
      <c r="S86" s="61"/>
    </row>
    <row r="87" spans="1:19" x14ac:dyDescent="0.25">
      <c r="S87" s="61"/>
    </row>
    <row r="88" spans="1:19" x14ac:dyDescent="0.25">
      <c r="S88" s="61"/>
    </row>
    <row r="89" spans="1:19" x14ac:dyDescent="0.25">
      <c r="S89" s="61"/>
    </row>
    <row r="90" spans="1:19" x14ac:dyDescent="0.25">
      <c r="S90" s="61"/>
    </row>
    <row r="91" spans="1:19" x14ac:dyDescent="0.25">
      <c r="S91" s="61"/>
    </row>
    <row r="92" spans="1:19" x14ac:dyDescent="0.25">
      <c r="S92" s="61"/>
    </row>
    <row r="93" spans="1:19" x14ac:dyDescent="0.25">
      <c r="S93" s="61"/>
    </row>
    <row r="94" spans="1:19" x14ac:dyDescent="0.25">
      <c r="S94" s="61"/>
    </row>
    <row r="95" spans="1:19" x14ac:dyDescent="0.25">
      <c r="S95" s="61"/>
    </row>
    <row r="96" spans="1:19" x14ac:dyDescent="0.25">
      <c r="S96" s="61"/>
    </row>
    <row r="97" spans="19:19" x14ac:dyDescent="0.25">
      <c r="S97" s="61"/>
    </row>
    <row r="98" spans="19:19" x14ac:dyDescent="0.25">
      <c r="S98" s="61"/>
    </row>
    <row r="99" spans="19:19" x14ac:dyDescent="0.25">
      <c r="S99" s="61"/>
    </row>
    <row r="100" spans="19:19" x14ac:dyDescent="0.25">
      <c r="S100" s="61"/>
    </row>
    <row r="101" spans="19:19" x14ac:dyDescent="0.25">
      <c r="S101" s="61"/>
    </row>
    <row r="102" spans="19:19" x14ac:dyDescent="0.25">
      <c r="S102" s="61"/>
    </row>
    <row r="103" spans="19:19" x14ac:dyDescent="0.25">
      <c r="S103" s="61"/>
    </row>
    <row r="104" spans="19:19" x14ac:dyDescent="0.25">
      <c r="S104" s="61"/>
    </row>
    <row r="105" spans="19:19" x14ac:dyDescent="0.25">
      <c r="S105" s="61"/>
    </row>
    <row r="106" spans="19:19" x14ac:dyDescent="0.25">
      <c r="S106" s="61"/>
    </row>
    <row r="107" spans="19:19" x14ac:dyDescent="0.25">
      <c r="S107" s="61"/>
    </row>
    <row r="108" spans="19:19" x14ac:dyDescent="0.25">
      <c r="S108" s="61"/>
    </row>
    <row r="109" spans="19:19" x14ac:dyDescent="0.25">
      <c r="S109" s="61"/>
    </row>
    <row r="110" spans="19:19" x14ac:dyDescent="0.25">
      <c r="S110" s="61"/>
    </row>
    <row r="111" spans="19:19" x14ac:dyDescent="0.25">
      <c r="S111" s="61"/>
    </row>
    <row r="112" spans="19:19" x14ac:dyDescent="0.25">
      <c r="S112" s="61"/>
    </row>
    <row r="113" spans="19:19" x14ac:dyDescent="0.25">
      <c r="S113" s="61"/>
    </row>
    <row r="114" spans="19:19" x14ac:dyDescent="0.25">
      <c r="S114" s="61"/>
    </row>
    <row r="115" spans="19:19" x14ac:dyDescent="0.25">
      <c r="S115" s="61"/>
    </row>
    <row r="116" spans="19:19" x14ac:dyDescent="0.25">
      <c r="S116" s="61"/>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27FEC-5BCC-4F9A-8AA9-FD80B6FD7E71}">
  <dimension ref="A1:V102"/>
  <sheetViews>
    <sheetView topLeftCell="A79" zoomScaleNormal="100" workbookViewId="0">
      <selection activeCell="U13" sqref="U13"/>
    </sheetView>
  </sheetViews>
  <sheetFormatPr defaultColWidth="9" defaultRowHeight="12.75" x14ac:dyDescent="0.2"/>
  <cols>
    <col min="1" max="1" width="8" style="160" customWidth="1"/>
    <col min="2" max="2" width="39.6640625" style="160" customWidth="1"/>
    <col min="3" max="3" width="14" style="160" customWidth="1"/>
    <col min="4" max="4" width="9.33203125" style="160" customWidth="1"/>
    <col min="5" max="5" width="11.6640625" style="160" customWidth="1"/>
    <col min="6" max="7" width="9.33203125" style="160" customWidth="1"/>
    <col min="8" max="8" width="10.33203125" style="160" customWidth="1"/>
    <col min="9" max="9" width="15.1640625" style="160" customWidth="1"/>
    <col min="10" max="16384" width="9" style="160"/>
  </cols>
  <sheetData>
    <row r="1" spans="1:22" ht="85.5" customHeight="1" x14ac:dyDescent="0.2">
      <c r="A1" s="278" t="s">
        <v>616</v>
      </c>
      <c r="B1" s="274"/>
      <c r="C1" s="274"/>
      <c r="D1" s="274"/>
      <c r="E1" s="274"/>
      <c r="F1" s="274"/>
      <c r="G1" s="274"/>
      <c r="H1" s="274"/>
      <c r="I1" s="274"/>
      <c r="J1" s="160" t="s">
        <v>617</v>
      </c>
    </row>
    <row r="2" spans="1:22" ht="31.5" customHeight="1" x14ac:dyDescent="0.2">
      <c r="A2" s="279" t="s">
        <v>618</v>
      </c>
      <c r="B2" s="279"/>
      <c r="C2" s="279"/>
      <c r="D2" s="161">
        <v>2019</v>
      </c>
      <c r="E2" s="162">
        <v>2018</v>
      </c>
      <c r="F2" s="163">
        <v>2017</v>
      </c>
      <c r="G2" s="164">
        <v>2016</v>
      </c>
      <c r="H2" s="165" t="s">
        <v>619</v>
      </c>
      <c r="J2" s="161">
        <v>2019</v>
      </c>
      <c r="K2" s="162">
        <v>2018</v>
      </c>
      <c r="L2" s="163">
        <v>2017</v>
      </c>
      <c r="M2" s="164">
        <v>2016</v>
      </c>
    </row>
    <row r="3" spans="1:22" ht="12.6" customHeight="1" x14ac:dyDescent="0.2">
      <c r="A3" s="280" t="s">
        <v>620</v>
      </c>
      <c r="B3" s="280"/>
      <c r="C3" s="166"/>
      <c r="D3" s="167"/>
      <c r="E3" s="166"/>
      <c r="F3" s="166"/>
      <c r="G3" s="168"/>
      <c r="H3" s="281" t="s">
        <v>621</v>
      </c>
    </row>
    <row r="4" spans="1:22" ht="11.25" customHeight="1" x14ac:dyDescent="0.2">
      <c r="A4" s="284" t="s">
        <v>622</v>
      </c>
      <c r="B4" s="284"/>
      <c r="C4" s="169">
        <v>1</v>
      </c>
      <c r="D4" s="170">
        <v>18446</v>
      </c>
      <c r="E4" s="171">
        <v>17836</v>
      </c>
      <c r="F4" s="171">
        <v>18472</v>
      </c>
      <c r="G4" s="172">
        <v>18806</v>
      </c>
      <c r="H4" s="282"/>
    </row>
    <row r="5" spans="1:22" ht="11.25" customHeight="1" x14ac:dyDescent="0.2">
      <c r="A5" s="272" t="s">
        <v>623</v>
      </c>
      <c r="B5" s="272"/>
      <c r="C5" s="173"/>
      <c r="D5" s="170">
        <v>6736</v>
      </c>
      <c r="E5" s="171">
        <v>6720</v>
      </c>
      <c r="F5" s="171">
        <v>6974</v>
      </c>
      <c r="G5" s="172">
        <v>7019</v>
      </c>
      <c r="H5" s="282"/>
    </row>
    <row r="6" spans="1:22" ht="11.25" customHeight="1" x14ac:dyDescent="0.2">
      <c r="A6" s="272" t="s">
        <v>624</v>
      </c>
      <c r="B6" s="272"/>
      <c r="C6" s="173"/>
      <c r="D6" s="170">
        <v>1467</v>
      </c>
      <c r="E6" s="171">
        <v>1585</v>
      </c>
      <c r="F6" s="171">
        <v>1561</v>
      </c>
      <c r="G6" s="172">
        <v>1461</v>
      </c>
      <c r="H6" s="282"/>
    </row>
    <row r="7" spans="1:22" ht="11.25" customHeight="1" x14ac:dyDescent="0.2">
      <c r="A7" s="272" t="s">
        <v>625</v>
      </c>
      <c r="B7" s="272"/>
      <c r="C7" s="173"/>
      <c r="D7" s="170">
        <v>3209</v>
      </c>
      <c r="E7" s="171">
        <v>3192</v>
      </c>
      <c r="F7" s="171">
        <v>2976</v>
      </c>
      <c r="G7" s="172">
        <v>3331</v>
      </c>
      <c r="H7" s="282"/>
    </row>
    <row r="8" spans="1:22" ht="11.25" customHeight="1" x14ac:dyDescent="0.2">
      <c r="A8" s="272" t="s">
        <v>626</v>
      </c>
      <c r="B8" s="272"/>
      <c r="C8" s="173"/>
      <c r="D8" s="170">
        <v>4271</v>
      </c>
      <c r="E8" s="171">
        <v>3578</v>
      </c>
      <c r="F8" s="171">
        <v>3964</v>
      </c>
      <c r="G8" s="172">
        <v>4067</v>
      </c>
      <c r="H8" s="282"/>
    </row>
    <row r="9" spans="1:22" ht="11.25" customHeight="1" x14ac:dyDescent="0.2">
      <c r="A9" s="272" t="s">
        <v>627</v>
      </c>
      <c r="B9" s="272"/>
      <c r="C9" s="173"/>
      <c r="D9" s="170">
        <v>1277</v>
      </c>
      <c r="E9" s="171">
        <v>1341</v>
      </c>
      <c r="F9" s="171">
        <v>1345</v>
      </c>
      <c r="G9" s="172">
        <v>1309</v>
      </c>
      <c r="H9" s="282"/>
    </row>
    <row r="10" spans="1:22" ht="11.25" customHeight="1" x14ac:dyDescent="0.2">
      <c r="A10" s="272" t="s">
        <v>628</v>
      </c>
      <c r="B10" s="272"/>
      <c r="C10" s="173"/>
      <c r="D10" s="174">
        <v>688</v>
      </c>
      <c r="E10" s="175">
        <v>707</v>
      </c>
      <c r="F10" s="175">
        <v>811</v>
      </c>
      <c r="G10" s="176">
        <v>793</v>
      </c>
      <c r="H10" s="282"/>
    </row>
    <row r="11" spans="1:22" ht="11.25" customHeight="1" x14ac:dyDescent="0.2">
      <c r="A11" s="272" t="s">
        <v>629</v>
      </c>
      <c r="B11" s="272"/>
      <c r="C11" s="173"/>
      <c r="D11" s="174">
        <v>53</v>
      </c>
      <c r="E11" s="175">
        <v>54</v>
      </c>
      <c r="F11" s="175">
        <v>64</v>
      </c>
      <c r="G11" s="176">
        <v>62</v>
      </c>
      <c r="H11" s="282"/>
    </row>
    <row r="12" spans="1:22" ht="12" customHeight="1" x14ac:dyDescent="0.2">
      <c r="A12" s="273" t="s">
        <v>630</v>
      </c>
      <c r="B12" s="273"/>
      <c r="C12" s="273"/>
      <c r="D12" s="177">
        <v>745</v>
      </c>
      <c r="E12" s="178">
        <v>659</v>
      </c>
      <c r="F12" s="178">
        <v>776</v>
      </c>
      <c r="G12" s="179">
        <v>763</v>
      </c>
      <c r="H12" s="283"/>
      <c r="U12" s="235" t="s">
        <v>623</v>
      </c>
      <c r="V12" s="235"/>
    </row>
    <row r="13" spans="1:22" ht="11.45" customHeight="1" x14ac:dyDescent="0.2">
      <c r="A13" s="285" t="s">
        <v>631</v>
      </c>
      <c r="B13" s="285"/>
      <c r="C13" s="180">
        <v>2</v>
      </c>
      <c r="D13" s="181"/>
      <c r="E13" s="182"/>
      <c r="F13" s="182"/>
      <c r="G13" s="183"/>
      <c r="H13" s="184"/>
      <c r="U13" s="235" t="s">
        <v>624</v>
      </c>
      <c r="V13" s="235"/>
    </row>
    <row r="14" spans="1:22" ht="11.25" customHeight="1" x14ac:dyDescent="0.2">
      <c r="A14" s="274" t="s">
        <v>632</v>
      </c>
      <c r="B14" s="274"/>
      <c r="C14" s="173"/>
      <c r="D14" s="170">
        <v>105.04</v>
      </c>
      <c r="E14" s="171">
        <v>109.18</v>
      </c>
      <c r="F14" s="171">
        <v>110.68</v>
      </c>
      <c r="G14" s="172">
        <v>119.25</v>
      </c>
      <c r="H14" s="185" t="s">
        <v>621</v>
      </c>
      <c r="J14" s="160">
        <f t="shared" ref="J14:J22" si="0">D14*gwpch4</f>
        <v>2415.92</v>
      </c>
      <c r="K14" s="160">
        <f t="shared" ref="K14:K22" si="1">E14*gwpch4</f>
        <v>2511.1400000000003</v>
      </c>
      <c r="L14" s="160">
        <f t="shared" ref="L14:L22" si="2">F14*gwpch4</f>
        <v>2545.6400000000003</v>
      </c>
      <c r="M14" s="160">
        <f t="shared" ref="M14:M22" si="3">G14*gwpch4</f>
        <v>2742.75</v>
      </c>
    </row>
    <row r="15" spans="1:22" ht="11.25" customHeight="1" x14ac:dyDescent="0.2">
      <c r="A15" s="272" t="s">
        <v>623</v>
      </c>
      <c r="B15" s="272"/>
      <c r="C15" s="173"/>
      <c r="D15" s="170">
        <v>96.16</v>
      </c>
      <c r="E15" s="171">
        <v>98.34</v>
      </c>
      <c r="F15" s="171">
        <v>99.52</v>
      </c>
      <c r="G15" s="172">
        <v>100.1</v>
      </c>
      <c r="H15" s="186"/>
      <c r="J15" s="160">
        <f t="shared" si="0"/>
        <v>2211.6799999999998</v>
      </c>
      <c r="K15" s="160">
        <f t="shared" si="1"/>
        <v>2261.8200000000002</v>
      </c>
      <c r="L15" s="160">
        <f t="shared" si="2"/>
        <v>2288.96</v>
      </c>
      <c r="M15" s="160">
        <f t="shared" si="3"/>
        <v>2302.2999999999997</v>
      </c>
    </row>
    <row r="16" spans="1:22" ht="11.25" customHeight="1" x14ac:dyDescent="0.2">
      <c r="A16" s="272" t="s">
        <v>624</v>
      </c>
      <c r="B16" s="272"/>
      <c r="C16" s="173"/>
      <c r="D16" s="170">
        <v>5.34</v>
      </c>
      <c r="E16" s="171">
        <v>7.24</v>
      </c>
      <c r="F16" s="171">
        <v>7.42</v>
      </c>
      <c r="G16" s="172">
        <v>10.54</v>
      </c>
      <c r="H16" s="186"/>
      <c r="J16" s="160">
        <f t="shared" si="0"/>
        <v>122.82</v>
      </c>
      <c r="K16" s="160">
        <f t="shared" si="1"/>
        <v>166.52</v>
      </c>
      <c r="L16" s="160">
        <f t="shared" si="2"/>
        <v>170.66</v>
      </c>
      <c r="M16" s="160">
        <f t="shared" si="3"/>
        <v>242.42</v>
      </c>
    </row>
    <row r="17" spans="1:13" ht="11.25" customHeight="1" x14ac:dyDescent="0.2">
      <c r="A17" s="272" t="s">
        <v>625</v>
      </c>
      <c r="B17" s="272"/>
      <c r="C17" s="173"/>
      <c r="D17" s="170">
        <v>3.49</v>
      </c>
      <c r="E17" s="171">
        <v>3.55</v>
      </c>
      <c r="F17" s="171">
        <v>3.73</v>
      </c>
      <c r="G17" s="172">
        <v>4.01</v>
      </c>
      <c r="H17" s="186"/>
      <c r="J17" s="160">
        <f t="shared" si="0"/>
        <v>80.27000000000001</v>
      </c>
      <c r="K17" s="160">
        <f t="shared" si="1"/>
        <v>81.649999999999991</v>
      </c>
      <c r="L17" s="160">
        <f t="shared" si="2"/>
        <v>85.79</v>
      </c>
      <c r="M17" s="160">
        <f t="shared" si="3"/>
        <v>92.22999999999999</v>
      </c>
    </row>
    <row r="18" spans="1:13" ht="11.25" customHeight="1" x14ac:dyDescent="0.2">
      <c r="A18" s="272" t="s">
        <v>626</v>
      </c>
      <c r="B18" s="272"/>
      <c r="C18" s="173"/>
      <c r="D18" s="187">
        <v>0</v>
      </c>
      <c r="E18" s="171">
        <v>0</v>
      </c>
      <c r="F18" s="171">
        <v>0</v>
      </c>
      <c r="G18" s="172">
        <v>0</v>
      </c>
      <c r="H18" s="186"/>
      <c r="J18" s="160">
        <f t="shared" si="0"/>
        <v>0</v>
      </c>
      <c r="K18" s="160">
        <f t="shared" si="1"/>
        <v>0</v>
      </c>
      <c r="L18" s="160">
        <f t="shared" si="2"/>
        <v>0</v>
      </c>
      <c r="M18" s="160">
        <f t="shared" si="3"/>
        <v>0</v>
      </c>
    </row>
    <row r="19" spans="1:13" ht="11.25" customHeight="1" x14ac:dyDescent="0.2">
      <c r="A19" s="272" t="s">
        <v>627</v>
      </c>
      <c r="B19" s="272"/>
      <c r="C19" s="173"/>
      <c r="D19" s="170">
        <v>0</v>
      </c>
      <c r="E19" s="171">
        <v>0</v>
      </c>
      <c r="F19" s="171">
        <v>0</v>
      </c>
      <c r="G19" s="172">
        <v>0</v>
      </c>
      <c r="H19" s="186"/>
      <c r="J19" s="160">
        <f t="shared" si="0"/>
        <v>0</v>
      </c>
      <c r="K19" s="160">
        <f t="shared" si="1"/>
        <v>0</v>
      </c>
      <c r="L19" s="160">
        <f t="shared" si="2"/>
        <v>0</v>
      </c>
      <c r="M19" s="160">
        <f t="shared" si="3"/>
        <v>0</v>
      </c>
    </row>
    <row r="20" spans="1:13" ht="11.25" customHeight="1" x14ac:dyDescent="0.2">
      <c r="A20" s="272" t="s">
        <v>628</v>
      </c>
      <c r="B20" s="272"/>
      <c r="C20" s="173"/>
      <c r="D20" s="170">
        <v>0.04</v>
      </c>
      <c r="E20" s="171">
        <v>0.04</v>
      </c>
      <c r="F20" s="171">
        <v>0</v>
      </c>
      <c r="G20" s="172">
        <v>0</v>
      </c>
      <c r="H20" s="186"/>
      <c r="J20" s="160">
        <f t="shared" si="0"/>
        <v>0.92</v>
      </c>
      <c r="K20" s="160">
        <f t="shared" si="1"/>
        <v>0.92</v>
      </c>
      <c r="L20" s="160">
        <f t="shared" si="2"/>
        <v>0</v>
      </c>
      <c r="M20" s="160">
        <f t="shared" si="3"/>
        <v>0</v>
      </c>
    </row>
    <row r="21" spans="1:13" ht="11.25" customHeight="1" x14ac:dyDescent="0.2">
      <c r="A21" s="272" t="s">
        <v>629</v>
      </c>
      <c r="B21" s="272"/>
      <c r="C21" s="173"/>
      <c r="D21" s="170">
        <v>0</v>
      </c>
      <c r="E21" s="171">
        <v>0</v>
      </c>
      <c r="F21" s="171">
        <v>0</v>
      </c>
      <c r="G21" s="172">
        <v>0</v>
      </c>
      <c r="H21" s="186"/>
      <c r="J21" s="160">
        <f t="shared" si="0"/>
        <v>0</v>
      </c>
      <c r="K21" s="160">
        <f t="shared" si="1"/>
        <v>0</v>
      </c>
      <c r="L21" s="160">
        <f t="shared" si="2"/>
        <v>0</v>
      </c>
      <c r="M21" s="160">
        <f t="shared" si="3"/>
        <v>0</v>
      </c>
    </row>
    <row r="22" spans="1:13" ht="11.85" customHeight="1" x14ac:dyDescent="0.2">
      <c r="A22" s="272" t="s">
        <v>630</v>
      </c>
      <c r="B22" s="272"/>
      <c r="C22" s="272"/>
      <c r="D22" s="170">
        <v>0.01</v>
      </c>
      <c r="E22" s="171">
        <v>0.01</v>
      </c>
      <c r="F22" s="171">
        <v>0.01</v>
      </c>
      <c r="G22" s="172">
        <v>4.6100000000000003</v>
      </c>
      <c r="H22" s="186"/>
      <c r="J22" s="160">
        <f t="shared" si="0"/>
        <v>0.23</v>
      </c>
      <c r="K22" s="160">
        <f t="shared" si="1"/>
        <v>0.23</v>
      </c>
      <c r="L22" s="160">
        <f t="shared" si="2"/>
        <v>0.23</v>
      </c>
      <c r="M22" s="160">
        <f t="shared" si="3"/>
        <v>106.03</v>
      </c>
    </row>
    <row r="23" spans="1:13" ht="12" customHeight="1" x14ac:dyDescent="0.2">
      <c r="A23" s="274" t="s">
        <v>633</v>
      </c>
      <c r="B23" s="274"/>
      <c r="C23" s="173"/>
      <c r="D23" s="170">
        <v>1.64</v>
      </c>
      <c r="E23" s="171">
        <v>1.44</v>
      </c>
      <c r="F23" s="171">
        <v>0.51</v>
      </c>
      <c r="G23" s="172">
        <v>0.45</v>
      </c>
      <c r="H23" s="185" t="s">
        <v>621</v>
      </c>
      <c r="J23" s="160">
        <f t="shared" ref="J23:J31" si="4">D23*gwpn2o</f>
        <v>485.44</v>
      </c>
      <c r="K23" s="160">
        <f t="shared" ref="K23:K31" si="5">E23*gwpn2o</f>
        <v>426.24</v>
      </c>
      <c r="L23" s="160">
        <f t="shared" ref="L23:L31" si="6">F23*gwpn2o</f>
        <v>150.96</v>
      </c>
      <c r="M23" s="160">
        <f t="shared" ref="M23:M31" si="7">G23*gwpn2o</f>
        <v>133.20000000000002</v>
      </c>
    </row>
    <row r="24" spans="1:13" ht="11.25" customHeight="1" x14ac:dyDescent="0.2">
      <c r="A24" s="272" t="s">
        <v>623</v>
      </c>
      <c r="B24" s="272"/>
      <c r="C24" s="173"/>
      <c r="D24" s="170">
        <v>0.9</v>
      </c>
      <c r="E24" s="171">
        <v>1.18</v>
      </c>
      <c r="F24" s="171">
        <v>0.34</v>
      </c>
      <c r="G24" s="172">
        <v>0.31</v>
      </c>
      <c r="H24" s="186"/>
      <c r="J24" s="160">
        <f t="shared" si="4"/>
        <v>266.40000000000003</v>
      </c>
      <c r="K24" s="160">
        <f t="shared" si="5"/>
        <v>349.28</v>
      </c>
      <c r="L24" s="160">
        <f t="shared" si="6"/>
        <v>100.64</v>
      </c>
      <c r="M24" s="160">
        <f t="shared" si="7"/>
        <v>91.76</v>
      </c>
    </row>
    <row r="25" spans="1:13" ht="11.25" customHeight="1" x14ac:dyDescent="0.2">
      <c r="A25" s="272" t="s">
        <v>624</v>
      </c>
      <c r="B25" s="272"/>
      <c r="C25" s="173"/>
      <c r="D25" s="170">
        <v>0.73</v>
      </c>
      <c r="E25" s="171">
        <v>0.26</v>
      </c>
      <c r="F25" s="171">
        <v>0.16</v>
      </c>
      <c r="G25" s="172">
        <v>0.14000000000000001</v>
      </c>
      <c r="H25" s="186"/>
      <c r="J25" s="160">
        <f t="shared" si="4"/>
        <v>216.07999999999998</v>
      </c>
      <c r="K25" s="160">
        <f t="shared" si="5"/>
        <v>76.960000000000008</v>
      </c>
      <c r="L25" s="160">
        <f t="shared" si="6"/>
        <v>47.36</v>
      </c>
      <c r="M25" s="160">
        <f t="shared" si="7"/>
        <v>41.440000000000005</v>
      </c>
    </row>
    <row r="26" spans="1:13" ht="11.25" customHeight="1" x14ac:dyDescent="0.2">
      <c r="A26" s="272" t="s">
        <v>625</v>
      </c>
      <c r="B26" s="272"/>
      <c r="C26" s="173"/>
      <c r="D26" s="170">
        <v>0</v>
      </c>
      <c r="E26" s="171">
        <v>0</v>
      </c>
      <c r="F26" s="171">
        <v>0</v>
      </c>
      <c r="G26" s="172">
        <v>0</v>
      </c>
      <c r="H26" s="186"/>
      <c r="J26" s="160">
        <f t="shared" si="4"/>
        <v>0</v>
      </c>
      <c r="K26" s="160">
        <f t="shared" si="5"/>
        <v>0</v>
      </c>
      <c r="L26" s="160">
        <f t="shared" si="6"/>
        <v>0</v>
      </c>
      <c r="M26" s="160">
        <f t="shared" si="7"/>
        <v>0</v>
      </c>
    </row>
    <row r="27" spans="1:13" ht="11.25" customHeight="1" x14ac:dyDescent="0.2">
      <c r="A27" s="272" t="s">
        <v>626</v>
      </c>
      <c r="B27" s="272"/>
      <c r="C27" s="173"/>
      <c r="D27" s="170">
        <v>0</v>
      </c>
      <c r="E27" s="171">
        <v>0</v>
      </c>
      <c r="F27" s="171">
        <v>0</v>
      </c>
      <c r="G27" s="172">
        <v>0</v>
      </c>
      <c r="H27" s="186"/>
      <c r="J27" s="160">
        <f t="shared" si="4"/>
        <v>0</v>
      </c>
      <c r="K27" s="160">
        <f t="shared" si="5"/>
        <v>0</v>
      </c>
      <c r="L27" s="160">
        <f t="shared" si="6"/>
        <v>0</v>
      </c>
      <c r="M27" s="160">
        <f t="shared" si="7"/>
        <v>0</v>
      </c>
    </row>
    <row r="28" spans="1:13" ht="11.25" customHeight="1" x14ac:dyDescent="0.2">
      <c r="A28" s="272" t="s">
        <v>627</v>
      </c>
      <c r="B28" s="272"/>
      <c r="C28" s="173"/>
      <c r="D28" s="170">
        <v>0</v>
      </c>
      <c r="E28" s="171">
        <v>0</v>
      </c>
      <c r="F28" s="171">
        <v>0</v>
      </c>
      <c r="G28" s="172">
        <v>0</v>
      </c>
      <c r="H28" s="186"/>
      <c r="J28" s="160">
        <f t="shared" si="4"/>
        <v>0</v>
      </c>
      <c r="K28" s="160">
        <f t="shared" si="5"/>
        <v>0</v>
      </c>
      <c r="L28" s="160">
        <f t="shared" si="6"/>
        <v>0</v>
      </c>
      <c r="M28" s="160">
        <f t="shared" si="7"/>
        <v>0</v>
      </c>
    </row>
    <row r="29" spans="1:13" ht="11.25" customHeight="1" x14ac:dyDescent="0.2">
      <c r="A29" s="272" t="s">
        <v>628</v>
      </c>
      <c r="B29" s="272"/>
      <c r="C29" s="173"/>
      <c r="D29" s="170">
        <v>0.01</v>
      </c>
      <c r="E29" s="171">
        <v>0.01</v>
      </c>
      <c r="F29" s="171">
        <v>0</v>
      </c>
      <c r="G29" s="172">
        <v>0</v>
      </c>
      <c r="H29" s="186"/>
      <c r="J29" s="160">
        <f t="shared" si="4"/>
        <v>2.96</v>
      </c>
      <c r="K29" s="160">
        <f t="shared" si="5"/>
        <v>2.96</v>
      </c>
      <c r="L29" s="160">
        <f t="shared" si="6"/>
        <v>0</v>
      </c>
      <c r="M29" s="160">
        <f t="shared" si="7"/>
        <v>0</v>
      </c>
    </row>
    <row r="30" spans="1:13" ht="11.25" customHeight="1" x14ac:dyDescent="0.2">
      <c r="A30" s="272" t="s">
        <v>629</v>
      </c>
      <c r="B30" s="272"/>
      <c r="C30" s="173"/>
      <c r="D30" s="170">
        <v>0</v>
      </c>
      <c r="E30" s="171">
        <v>0</v>
      </c>
      <c r="F30" s="171">
        <v>0</v>
      </c>
      <c r="G30" s="172">
        <v>0</v>
      </c>
      <c r="H30" s="186"/>
      <c r="J30" s="160">
        <f t="shared" si="4"/>
        <v>0</v>
      </c>
      <c r="K30" s="160">
        <f t="shared" si="5"/>
        <v>0</v>
      </c>
      <c r="L30" s="160">
        <f t="shared" si="6"/>
        <v>0</v>
      </c>
      <c r="M30" s="160">
        <f t="shared" si="7"/>
        <v>0</v>
      </c>
    </row>
    <row r="31" spans="1:13" ht="11.85" customHeight="1" x14ac:dyDescent="0.2">
      <c r="A31" s="272" t="s">
        <v>630</v>
      </c>
      <c r="B31" s="272"/>
      <c r="C31" s="272"/>
      <c r="D31" s="170">
        <v>0</v>
      </c>
      <c r="E31" s="171">
        <v>0</v>
      </c>
      <c r="F31" s="171">
        <v>0</v>
      </c>
      <c r="G31" s="172">
        <v>0</v>
      </c>
      <c r="H31" s="186"/>
      <c r="J31" s="160">
        <f t="shared" si="4"/>
        <v>0</v>
      </c>
      <c r="K31" s="160">
        <f t="shared" si="5"/>
        <v>0</v>
      </c>
      <c r="L31" s="160">
        <f t="shared" si="6"/>
        <v>0</v>
      </c>
      <c r="M31" s="160">
        <f t="shared" si="7"/>
        <v>0</v>
      </c>
    </row>
    <row r="32" spans="1:13" ht="12" customHeight="1" x14ac:dyDescent="0.2">
      <c r="A32" s="274" t="s">
        <v>634</v>
      </c>
      <c r="B32" s="274"/>
      <c r="C32" s="173"/>
      <c r="D32" s="170">
        <v>56004</v>
      </c>
      <c r="E32" s="171">
        <v>56731</v>
      </c>
      <c r="F32" s="171">
        <v>57281</v>
      </c>
      <c r="G32" s="172">
        <v>58329</v>
      </c>
      <c r="H32" s="185" t="s">
        <v>621</v>
      </c>
      <c r="J32" s="160">
        <f>D32</f>
        <v>56004</v>
      </c>
      <c r="K32" s="160">
        <f>E32</f>
        <v>56731</v>
      </c>
      <c r="L32" s="160">
        <f>F32</f>
        <v>57281</v>
      </c>
      <c r="M32" s="160">
        <f>G32</f>
        <v>58329</v>
      </c>
    </row>
    <row r="33" spans="1:13" ht="11.25" customHeight="1" x14ac:dyDescent="0.2">
      <c r="A33" s="272" t="s">
        <v>623</v>
      </c>
      <c r="B33" s="272"/>
      <c r="C33" s="173"/>
      <c r="D33" s="170">
        <v>48418</v>
      </c>
      <c r="E33" s="171">
        <v>49411</v>
      </c>
      <c r="F33" s="171">
        <v>49284</v>
      </c>
      <c r="G33" s="172">
        <v>50152</v>
      </c>
      <c r="H33" s="186"/>
      <c r="J33" s="160">
        <f t="shared" ref="J33:M40" si="8">D33</f>
        <v>48418</v>
      </c>
      <c r="K33" s="160">
        <f t="shared" si="8"/>
        <v>49411</v>
      </c>
      <c r="L33" s="160">
        <f t="shared" si="8"/>
        <v>49284</v>
      </c>
      <c r="M33" s="160">
        <f t="shared" si="8"/>
        <v>50152</v>
      </c>
    </row>
    <row r="34" spans="1:13" ht="11.25" customHeight="1" x14ac:dyDescent="0.2">
      <c r="A34" s="272" t="s">
        <v>624</v>
      </c>
      <c r="B34" s="272"/>
      <c r="C34" s="173"/>
      <c r="D34" s="170">
        <v>4557</v>
      </c>
      <c r="E34" s="171">
        <v>4517</v>
      </c>
      <c r="F34" s="171">
        <v>5017</v>
      </c>
      <c r="G34" s="172">
        <v>5196</v>
      </c>
      <c r="H34" s="186"/>
      <c r="J34" s="160">
        <f t="shared" si="8"/>
        <v>4557</v>
      </c>
      <c r="K34" s="160">
        <f t="shared" si="8"/>
        <v>4517</v>
      </c>
      <c r="L34" s="160">
        <f t="shared" si="8"/>
        <v>5017</v>
      </c>
      <c r="M34" s="160">
        <f t="shared" si="8"/>
        <v>5196</v>
      </c>
    </row>
    <row r="35" spans="1:13" ht="11.25" customHeight="1" x14ac:dyDescent="0.2">
      <c r="A35" s="272" t="s">
        <v>625</v>
      </c>
      <c r="B35" s="272"/>
      <c r="C35" s="173"/>
      <c r="D35" s="174">
        <v>16</v>
      </c>
      <c r="E35" s="175">
        <v>18</v>
      </c>
      <c r="F35" s="175">
        <v>16</v>
      </c>
      <c r="G35" s="176">
        <v>16</v>
      </c>
      <c r="H35" s="186"/>
      <c r="J35" s="160">
        <f t="shared" si="8"/>
        <v>16</v>
      </c>
      <c r="K35" s="160">
        <f t="shared" si="8"/>
        <v>18</v>
      </c>
      <c r="L35" s="160">
        <f t="shared" si="8"/>
        <v>16</v>
      </c>
      <c r="M35" s="160">
        <f t="shared" si="8"/>
        <v>16</v>
      </c>
    </row>
    <row r="36" spans="1:13" ht="11.25" customHeight="1" x14ac:dyDescent="0.2">
      <c r="A36" s="272" t="s">
        <v>626</v>
      </c>
      <c r="B36" s="272"/>
      <c r="C36" s="173"/>
      <c r="D36" s="174">
        <v>932</v>
      </c>
      <c r="E36" s="175">
        <v>791</v>
      </c>
      <c r="F36" s="175">
        <v>903</v>
      </c>
      <c r="G36" s="176">
        <v>938</v>
      </c>
      <c r="H36" s="186"/>
      <c r="J36" s="160">
        <f t="shared" si="8"/>
        <v>932</v>
      </c>
      <c r="K36" s="160">
        <f t="shared" si="8"/>
        <v>791</v>
      </c>
      <c r="L36" s="160">
        <f t="shared" si="8"/>
        <v>903</v>
      </c>
      <c r="M36" s="160">
        <f t="shared" si="8"/>
        <v>938</v>
      </c>
    </row>
    <row r="37" spans="1:13" ht="11.25" customHeight="1" x14ac:dyDescent="0.2">
      <c r="A37" s="272" t="s">
        <v>627</v>
      </c>
      <c r="B37" s="272"/>
      <c r="C37" s="173"/>
      <c r="D37" s="174">
        <v>610</v>
      </c>
      <c r="E37" s="175">
        <v>698</v>
      </c>
      <c r="F37" s="175">
        <v>773</v>
      </c>
      <c r="G37" s="176">
        <v>748</v>
      </c>
      <c r="H37" s="186"/>
      <c r="J37" s="160">
        <f t="shared" si="8"/>
        <v>610</v>
      </c>
      <c r="K37" s="160">
        <f t="shared" si="8"/>
        <v>698</v>
      </c>
      <c r="L37" s="160">
        <f t="shared" si="8"/>
        <v>773</v>
      </c>
      <c r="M37" s="160">
        <f t="shared" si="8"/>
        <v>748</v>
      </c>
    </row>
    <row r="38" spans="1:13" ht="11.25" customHeight="1" x14ac:dyDescent="0.2">
      <c r="A38" s="272" t="s">
        <v>628</v>
      </c>
      <c r="B38" s="272"/>
      <c r="C38" s="173"/>
      <c r="D38" s="170">
        <v>1163</v>
      </c>
      <c r="E38" s="175">
        <v>988</v>
      </c>
      <c r="F38" s="175">
        <v>978</v>
      </c>
      <c r="G38" s="176">
        <v>953</v>
      </c>
      <c r="H38" s="186"/>
      <c r="J38" s="160">
        <f t="shared" si="8"/>
        <v>1163</v>
      </c>
      <c r="K38" s="160">
        <f t="shared" si="8"/>
        <v>988</v>
      </c>
      <c r="L38" s="160">
        <f t="shared" si="8"/>
        <v>978</v>
      </c>
      <c r="M38" s="160">
        <f t="shared" si="8"/>
        <v>953</v>
      </c>
    </row>
    <row r="39" spans="1:13" ht="11.25" customHeight="1" x14ac:dyDescent="0.2">
      <c r="A39" s="272" t="s">
        <v>629</v>
      </c>
      <c r="B39" s="272"/>
      <c r="C39" s="173"/>
      <c r="D39" s="174">
        <v>261</v>
      </c>
      <c r="E39" s="175">
        <v>258</v>
      </c>
      <c r="F39" s="175">
        <v>260</v>
      </c>
      <c r="G39" s="176">
        <v>273</v>
      </c>
      <c r="H39" s="186"/>
      <c r="J39" s="160">
        <f t="shared" si="8"/>
        <v>261</v>
      </c>
      <c r="K39" s="160">
        <f t="shared" si="8"/>
        <v>258</v>
      </c>
      <c r="L39" s="160">
        <f t="shared" si="8"/>
        <v>260</v>
      </c>
      <c r="M39" s="160">
        <f t="shared" si="8"/>
        <v>273</v>
      </c>
    </row>
    <row r="40" spans="1:13" ht="11.85" customHeight="1" x14ac:dyDescent="0.2">
      <c r="A40" s="272" t="s">
        <v>630</v>
      </c>
      <c r="B40" s="272"/>
      <c r="C40" s="272"/>
      <c r="D40" s="174">
        <v>47</v>
      </c>
      <c r="E40" s="175">
        <v>51</v>
      </c>
      <c r="F40" s="175">
        <v>51</v>
      </c>
      <c r="G40" s="176">
        <v>53</v>
      </c>
      <c r="H40" s="186"/>
      <c r="J40" s="160">
        <f t="shared" si="8"/>
        <v>47</v>
      </c>
      <c r="K40" s="160">
        <f t="shared" si="8"/>
        <v>51</v>
      </c>
      <c r="L40" s="160">
        <f t="shared" si="8"/>
        <v>51</v>
      </c>
      <c r="M40" s="160">
        <f t="shared" si="8"/>
        <v>53</v>
      </c>
    </row>
    <row r="41" spans="1:13" ht="12" customHeight="1" x14ac:dyDescent="0.2">
      <c r="A41" s="274" t="s">
        <v>635</v>
      </c>
      <c r="B41" s="274"/>
      <c r="C41" s="169">
        <v>3</v>
      </c>
      <c r="D41" s="170">
        <v>7653</v>
      </c>
      <c r="E41" s="171">
        <v>7756</v>
      </c>
      <c r="F41" s="171">
        <v>7659</v>
      </c>
      <c r="G41" s="172">
        <v>8046</v>
      </c>
      <c r="H41" s="185" t="s">
        <v>621</v>
      </c>
    </row>
    <row r="42" spans="1:13" ht="11.25" customHeight="1" x14ac:dyDescent="0.2">
      <c r="A42" s="272" t="s">
        <v>623</v>
      </c>
      <c r="B42" s="272"/>
      <c r="C42" s="173"/>
      <c r="D42" s="170">
        <v>5596</v>
      </c>
      <c r="E42" s="171">
        <v>5580</v>
      </c>
      <c r="F42" s="171">
        <v>5598</v>
      </c>
      <c r="G42" s="172">
        <v>6089</v>
      </c>
      <c r="H42" s="186"/>
      <c r="I42" s="188" t="s">
        <v>623</v>
      </c>
      <c r="J42" s="188">
        <f t="shared" ref="J42:M45" si="9">J15+J24+J33</f>
        <v>50896.08</v>
      </c>
      <c r="K42" s="188">
        <f t="shared" si="9"/>
        <v>52022.1</v>
      </c>
      <c r="L42" s="188">
        <f t="shared" si="9"/>
        <v>51673.599999999999</v>
      </c>
      <c r="M42" s="188">
        <f t="shared" si="9"/>
        <v>52546.06</v>
      </c>
    </row>
    <row r="43" spans="1:13" ht="11.25" customHeight="1" x14ac:dyDescent="0.2">
      <c r="A43" s="272" t="s">
        <v>624</v>
      </c>
      <c r="B43" s="272"/>
      <c r="C43" s="173"/>
      <c r="D43" s="174">
        <v>400</v>
      </c>
      <c r="E43" s="175">
        <v>723</v>
      </c>
      <c r="F43" s="175">
        <v>527</v>
      </c>
      <c r="G43" s="176">
        <v>468</v>
      </c>
      <c r="H43" s="186"/>
      <c r="I43" s="188" t="s">
        <v>624</v>
      </c>
      <c r="J43" s="188">
        <f t="shared" si="9"/>
        <v>4895.8999999999996</v>
      </c>
      <c r="K43" s="188">
        <f t="shared" si="9"/>
        <v>4760.4799999999996</v>
      </c>
      <c r="L43" s="188">
        <f t="shared" si="9"/>
        <v>5235.0200000000004</v>
      </c>
      <c r="M43" s="188">
        <f t="shared" si="9"/>
        <v>5479.86</v>
      </c>
    </row>
    <row r="44" spans="1:13" ht="11.25" customHeight="1" x14ac:dyDescent="0.2">
      <c r="A44" s="272" t="s">
        <v>625</v>
      </c>
      <c r="B44" s="272"/>
      <c r="C44" s="173"/>
      <c r="D44" s="174">
        <v>726</v>
      </c>
      <c r="E44" s="175">
        <v>697</v>
      </c>
      <c r="F44" s="175">
        <v>705</v>
      </c>
      <c r="G44" s="176">
        <v>739</v>
      </c>
      <c r="H44" s="186"/>
      <c r="I44" s="188" t="s">
        <v>625</v>
      </c>
      <c r="J44" s="188">
        <f t="shared" si="9"/>
        <v>96.27000000000001</v>
      </c>
      <c r="K44" s="188">
        <f t="shared" si="9"/>
        <v>99.649999999999991</v>
      </c>
      <c r="L44" s="188">
        <f t="shared" si="9"/>
        <v>101.79</v>
      </c>
      <c r="M44" s="188">
        <f t="shared" si="9"/>
        <v>108.22999999999999</v>
      </c>
    </row>
    <row r="45" spans="1:13" ht="11.25" customHeight="1" x14ac:dyDescent="0.2">
      <c r="A45" s="272" t="s">
        <v>626</v>
      </c>
      <c r="B45" s="272"/>
      <c r="C45" s="173"/>
      <c r="D45" s="174">
        <v>289</v>
      </c>
      <c r="E45" s="175">
        <v>248</v>
      </c>
      <c r="F45" s="175">
        <v>263</v>
      </c>
      <c r="G45" s="176">
        <v>261</v>
      </c>
      <c r="H45" s="186"/>
      <c r="I45" s="188" t="s">
        <v>626</v>
      </c>
      <c r="J45" s="188">
        <f t="shared" si="9"/>
        <v>932</v>
      </c>
      <c r="K45" s="188">
        <f t="shared" si="9"/>
        <v>791</v>
      </c>
      <c r="L45" s="188">
        <f t="shared" si="9"/>
        <v>903</v>
      </c>
      <c r="M45" s="188">
        <f t="shared" si="9"/>
        <v>938</v>
      </c>
    </row>
    <row r="46" spans="1:13" ht="11.25" customHeight="1" x14ac:dyDescent="0.2">
      <c r="A46" s="272" t="s">
        <v>627</v>
      </c>
      <c r="B46" s="272"/>
      <c r="C46" s="173"/>
      <c r="D46" s="174">
        <v>108</v>
      </c>
      <c r="E46" s="175">
        <v>125</v>
      </c>
      <c r="F46" s="175">
        <v>170</v>
      </c>
      <c r="G46" s="176">
        <v>162</v>
      </c>
      <c r="H46" s="186"/>
    </row>
    <row r="47" spans="1:13" ht="11.25" customHeight="1" x14ac:dyDescent="0.2">
      <c r="A47" s="272" t="s">
        <v>628</v>
      </c>
      <c r="B47" s="272"/>
      <c r="C47" s="173"/>
      <c r="D47" s="174">
        <v>498</v>
      </c>
      <c r="E47" s="175">
        <v>349</v>
      </c>
      <c r="F47" s="175">
        <v>360</v>
      </c>
      <c r="G47" s="176">
        <v>289</v>
      </c>
      <c r="H47" s="186"/>
    </row>
    <row r="48" spans="1:13" ht="11.25" customHeight="1" x14ac:dyDescent="0.2">
      <c r="A48" s="272" t="s">
        <v>629</v>
      </c>
      <c r="B48" s="272"/>
      <c r="C48" s="173"/>
      <c r="D48" s="170">
        <v>0</v>
      </c>
      <c r="E48" s="171">
        <v>0</v>
      </c>
      <c r="F48" s="171">
        <v>0</v>
      </c>
      <c r="G48" s="172">
        <v>0</v>
      </c>
      <c r="H48" s="186"/>
    </row>
    <row r="49" spans="1:9" ht="11.85" customHeight="1" x14ac:dyDescent="0.2">
      <c r="A49" s="272" t="s">
        <v>630</v>
      </c>
      <c r="B49" s="272"/>
      <c r="C49" s="272"/>
      <c r="D49" s="174">
        <v>36</v>
      </c>
      <c r="E49" s="175">
        <v>37</v>
      </c>
      <c r="F49" s="175">
        <v>37</v>
      </c>
      <c r="G49" s="176">
        <v>39</v>
      </c>
      <c r="H49" s="186"/>
    </row>
    <row r="50" spans="1:9" ht="12" customHeight="1" x14ac:dyDescent="0.2">
      <c r="A50" s="274" t="s">
        <v>636</v>
      </c>
      <c r="B50" s="274"/>
      <c r="C50" s="169">
        <v>4</v>
      </c>
      <c r="D50" s="170">
        <v>0.05</v>
      </c>
      <c r="E50" s="171">
        <v>0.59</v>
      </c>
      <c r="F50" s="171">
        <v>0.78</v>
      </c>
      <c r="G50" s="172">
        <v>0.52</v>
      </c>
      <c r="H50" s="185" t="s">
        <v>637</v>
      </c>
    </row>
    <row r="51" spans="1:9" ht="11.25" customHeight="1" x14ac:dyDescent="0.2">
      <c r="A51" s="272" t="s">
        <v>623</v>
      </c>
      <c r="B51" s="272"/>
      <c r="C51" s="173"/>
      <c r="D51" s="170">
        <v>0</v>
      </c>
      <c r="E51" s="171">
        <v>0</v>
      </c>
      <c r="F51" s="171">
        <v>0</v>
      </c>
      <c r="G51" s="172">
        <v>0</v>
      </c>
      <c r="H51" s="186"/>
    </row>
    <row r="52" spans="1:9" ht="11.25" customHeight="1" x14ac:dyDescent="0.2">
      <c r="A52" s="272" t="s">
        <v>624</v>
      </c>
      <c r="B52" s="272"/>
      <c r="C52" s="173"/>
      <c r="D52" s="170">
        <v>0</v>
      </c>
      <c r="E52" s="171">
        <v>0</v>
      </c>
      <c r="F52" s="171">
        <v>0</v>
      </c>
      <c r="G52" s="172">
        <v>0</v>
      </c>
      <c r="H52" s="186"/>
    </row>
    <row r="53" spans="1:9" ht="11.25" customHeight="1" x14ac:dyDescent="0.2">
      <c r="A53" s="272" t="s">
        <v>625</v>
      </c>
      <c r="B53" s="272"/>
      <c r="C53" s="173"/>
      <c r="D53" s="170">
        <v>0</v>
      </c>
      <c r="E53" s="171">
        <v>0</v>
      </c>
      <c r="F53" s="171">
        <v>0</v>
      </c>
      <c r="G53" s="172">
        <v>0</v>
      </c>
      <c r="H53" s="186"/>
    </row>
    <row r="54" spans="1:9" ht="11.25" customHeight="1" x14ac:dyDescent="0.2">
      <c r="A54" s="272" t="s">
        <v>626</v>
      </c>
      <c r="B54" s="272"/>
      <c r="C54" s="173"/>
      <c r="D54" s="170">
        <v>0</v>
      </c>
      <c r="E54" s="171">
        <v>0</v>
      </c>
      <c r="F54" s="171">
        <v>0</v>
      </c>
      <c r="G54" s="172">
        <v>0</v>
      </c>
      <c r="H54" s="186"/>
    </row>
    <row r="55" spans="1:9" ht="11.25" customHeight="1" x14ac:dyDescent="0.2">
      <c r="A55" s="272" t="s">
        <v>627</v>
      </c>
      <c r="B55" s="272"/>
      <c r="C55" s="173"/>
      <c r="D55" s="170">
        <v>0</v>
      </c>
      <c r="E55" s="171">
        <v>0</v>
      </c>
      <c r="F55" s="171">
        <v>0</v>
      </c>
      <c r="G55" s="172">
        <v>0</v>
      </c>
      <c r="H55" s="186"/>
    </row>
    <row r="56" spans="1:9" ht="11.25" customHeight="1" x14ac:dyDescent="0.2">
      <c r="A56" s="272" t="s">
        <v>628</v>
      </c>
      <c r="B56" s="272"/>
      <c r="C56" s="173"/>
      <c r="D56" s="170">
        <v>0</v>
      </c>
      <c r="E56" s="171">
        <v>0</v>
      </c>
      <c r="F56" s="171">
        <v>0</v>
      </c>
      <c r="G56" s="172">
        <v>0</v>
      </c>
      <c r="H56" s="186"/>
    </row>
    <row r="57" spans="1:9" ht="11.25" customHeight="1" x14ac:dyDescent="0.2">
      <c r="A57" s="272" t="s">
        <v>629</v>
      </c>
      <c r="B57" s="272"/>
      <c r="C57" s="173"/>
      <c r="D57" s="170">
        <v>0.05</v>
      </c>
      <c r="E57" s="171">
        <v>0.59</v>
      </c>
      <c r="F57" s="171">
        <v>0.78</v>
      </c>
      <c r="G57" s="172">
        <v>0.52</v>
      </c>
      <c r="H57" s="186"/>
    </row>
    <row r="58" spans="1:9" ht="13.5" customHeight="1" x14ac:dyDescent="0.2">
      <c r="A58" s="273" t="s">
        <v>630</v>
      </c>
      <c r="B58" s="273"/>
      <c r="C58" s="273"/>
      <c r="D58" s="189">
        <v>0</v>
      </c>
      <c r="E58" s="190">
        <v>0</v>
      </c>
      <c r="F58" s="190">
        <v>0</v>
      </c>
      <c r="G58" s="191">
        <v>0</v>
      </c>
      <c r="H58" s="192"/>
    </row>
    <row r="59" spans="1:9" ht="0.95" customHeight="1" x14ac:dyDescent="0.2">
      <c r="A59" s="274"/>
      <c r="B59" s="274"/>
      <c r="C59" s="274"/>
      <c r="D59" s="274"/>
      <c r="E59" s="274"/>
      <c r="F59" s="274"/>
      <c r="G59" s="274"/>
      <c r="H59" s="274"/>
      <c r="I59" s="274"/>
    </row>
    <row r="60" spans="1:9" ht="0.95" customHeight="1" x14ac:dyDescent="0.2">
      <c r="A60" s="274"/>
      <c r="B60" s="274"/>
      <c r="C60" s="274"/>
      <c r="D60" s="274"/>
      <c r="E60" s="274"/>
      <c r="F60" s="274"/>
      <c r="G60" s="274"/>
      <c r="H60" s="274"/>
      <c r="I60" s="274"/>
    </row>
    <row r="61" spans="1:9" ht="12.75" customHeight="1" x14ac:dyDescent="0.2">
      <c r="A61" s="277" t="s">
        <v>638</v>
      </c>
      <c r="B61" s="277"/>
      <c r="C61" s="277"/>
      <c r="D61" s="277"/>
      <c r="E61" s="277"/>
      <c r="F61" s="277"/>
      <c r="G61" s="277"/>
      <c r="H61" s="277"/>
      <c r="I61" s="277"/>
    </row>
    <row r="62" spans="1:9" ht="39" customHeight="1" x14ac:dyDescent="0.2">
      <c r="A62" s="275" t="s">
        <v>618</v>
      </c>
      <c r="B62" s="275"/>
      <c r="C62" s="275"/>
      <c r="D62" s="193">
        <v>2019</v>
      </c>
      <c r="E62" s="194">
        <v>2018</v>
      </c>
      <c r="F62" s="194">
        <v>2017</v>
      </c>
      <c r="G62" s="195">
        <v>2016</v>
      </c>
      <c r="H62" s="196" t="s">
        <v>639</v>
      </c>
    </row>
    <row r="63" spans="1:9" ht="12.75" customHeight="1" x14ac:dyDescent="0.2">
      <c r="A63" s="276" t="s">
        <v>640</v>
      </c>
      <c r="B63" s="276"/>
      <c r="C63" s="276"/>
      <c r="D63" s="197" t="s">
        <v>641</v>
      </c>
      <c r="E63" s="198" t="s">
        <v>642</v>
      </c>
      <c r="F63" s="198" t="s">
        <v>643</v>
      </c>
      <c r="G63" s="199" t="s">
        <v>644</v>
      </c>
      <c r="H63" s="200" t="s">
        <v>621</v>
      </c>
    </row>
    <row r="64" spans="1:9" ht="11.25" customHeight="1" x14ac:dyDescent="0.2">
      <c r="A64" s="272" t="s">
        <v>623</v>
      </c>
      <c r="B64" s="272"/>
      <c r="C64" s="272"/>
      <c r="D64" s="170" t="s">
        <v>645</v>
      </c>
      <c r="E64" s="171" t="s">
        <v>646</v>
      </c>
      <c r="F64" s="171" t="s">
        <v>647</v>
      </c>
      <c r="G64" s="172" t="s">
        <v>648</v>
      </c>
      <c r="H64" s="186"/>
    </row>
    <row r="65" spans="1:8" ht="11.25" customHeight="1" x14ac:dyDescent="0.2">
      <c r="A65" s="272" t="s">
        <v>624</v>
      </c>
      <c r="B65" s="272"/>
      <c r="C65" s="272"/>
      <c r="D65" s="170" t="s">
        <v>649</v>
      </c>
      <c r="E65" s="171" t="s">
        <v>650</v>
      </c>
      <c r="F65" s="171" t="s">
        <v>651</v>
      </c>
      <c r="G65" s="172" t="s">
        <v>652</v>
      </c>
      <c r="H65" s="186"/>
    </row>
    <row r="66" spans="1:8" ht="11.25" customHeight="1" x14ac:dyDescent="0.2">
      <c r="A66" s="272" t="s">
        <v>625</v>
      </c>
      <c r="B66" s="272"/>
      <c r="C66" s="272"/>
      <c r="D66" s="174">
        <v>822</v>
      </c>
      <c r="E66" s="175">
        <v>797</v>
      </c>
      <c r="F66" s="175">
        <v>807</v>
      </c>
      <c r="G66" s="176">
        <v>847</v>
      </c>
      <c r="H66" s="186"/>
    </row>
    <row r="67" spans="1:8" ht="11.25" customHeight="1" x14ac:dyDescent="0.2">
      <c r="A67" s="272" t="s">
        <v>626</v>
      </c>
      <c r="B67" s="272"/>
      <c r="C67" s="272"/>
      <c r="D67" s="170" t="s">
        <v>653</v>
      </c>
      <c r="E67" s="171" t="s">
        <v>654</v>
      </c>
      <c r="F67" s="171" t="s">
        <v>655</v>
      </c>
      <c r="G67" s="172" t="s">
        <v>656</v>
      </c>
      <c r="H67" s="186"/>
    </row>
    <row r="68" spans="1:8" ht="11.25" customHeight="1" x14ac:dyDescent="0.2">
      <c r="A68" s="272" t="s">
        <v>627</v>
      </c>
      <c r="B68" s="272"/>
      <c r="C68" s="272"/>
      <c r="D68" s="174">
        <v>717</v>
      </c>
      <c r="E68" s="175">
        <v>823</v>
      </c>
      <c r="F68" s="175">
        <v>943</v>
      </c>
      <c r="G68" s="176">
        <v>910</v>
      </c>
      <c r="H68" s="186"/>
    </row>
    <row r="69" spans="1:8" ht="11.25" customHeight="1" x14ac:dyDescent="0.2">
      <c r="A69" s="272" t="s">
        <v>628</v>
      </c>
      <c r="B69" s="272"/>
      <c r="C69" s="272"/>
      <c r="D69" s="170" t="s">
        <v>657</v>
      </c>
      <c r="E69" s="171" t="s">
        <v>658</v>
      </c>
      <c r="F69" s="171" t="s">
        <v>659</v>
      </c>
      <c r="G69" s="172" t="s">
        <v>660</v>
      </c>
      <c r="H69" s="186"/>
    </row>
    <row r="70" spans="1:8" ht="11.25" customHeight="1" x14ac:dyDescent="0.2">
      <c r="A70" s="272" t="s">
        <v>629</v>
      </c>
      <c r="B70" s="272"/>
      <c r="C70" s="272"/>
      <c r="D70" s="174">
        <v>261</v>
      </c>
      <c r="E70" s="175">
        <v>258</v>
      </c>
      <c r="F70" s="175">
        <v>260</v>
      </c>
      <c r="G70" s="176">
        <v>274</v>
      </c>
      <c r="H70" s="186"/>
    </row>
    <row r="71" spans="1:8" ht="11.85" customHeight="1" x14ac:dyDescent="0.2">
      <c r="A71" s="272" t="s">
        <v>630</v>
      </c>
      <c r="B71" s="272"/>
      <c r="C71" s="272"/>
      <c r="D71" s="174">
        <v>83</v>
      </c>
      <c r="E71" s="175">
        <v>88</v>
      </c>
      <c r="F71" s="175">
        <v>89</v>
      </c>
      <c r="G71" s="176">
        <v>198</v>
      </c>
      <c r="H71" s="186"/>
    </row>
    <row r="72" spans="1:8" ht="12" customHeight="1" x14ac:dyDescent="0.2">
      <c r="A72" s="274" t="s">
        <v>661</v>
      </c>
      <c r="B72" s="274"/>
      <c r="C72" s="274"/>
      <c r="D72" s="170" t="s">
        <v>662</v>
      </c>
      <c r="E72" s="171" t="s">
        <v>663</v>
      </c>
      <c r="F72" s="171" t="s">
        <v>664</v>
      </c>
      <c r="G72" s="172" t="s">
        <v>665</v>
      </c>
      <c r="H72" s="201" t="s">
        <v>621</v>
      </c>
    </row>
    <row r="73" spans="1:8" ht="11.25" customHeight="1" x14ac:dyDescent="0.2">
      <c r="A73" s="272" t="s">
        <v>623</v>
      </c>
      <c r="B73" s="272"/>
      <c r="C73" s="272"/>
      <c r="D73" s="170" t="s">
        <v>666</v>
      </c>
      <c r="E73" s="171" t="s">
        <v>667</v>
      </c>
      <c r="F73" s="171" t="s">
        <v>668</v>
      </c>
      <c r="G73" s="172" t="s">
        <v>669</v>
      </c>
      <c r="H73" s="186"/>
    </row>
    <row r="74" spans="1:8" ht="11.25" customHeight="1" x14ac:dyDescent="0.2">
      <c r="A74" s="272" t="s">
        <v>624</v>
      </c>
      <c r="B74" s="272"/>
      <c r="C74" s="272"/>
      <c r="D74" s="170" t="s">
        <v>662</v>
      </c>
      <c r="E74" s="171" t="s">
        <v>670</v>
      </c>
      <c r="F74" s="171" t="s">
        <v>671</v>
      </c>
      <c r="G74" s="172" t="s">
        <v>672</v>
      </c>
      <c r="H74" s="186"/>
    </row>
    <row r="75" spans="1:8" ht="11.25" customHeight="1" x14ac:dyDescent="0.2">
      <c r="A75" s="272" t="s">
        <v>625</v>
      </c>
      <c r="B75" s="272"/>
      <c r="C75" s="272"/>
      <c r="D75" s="170" t="s">
        <v>673</v>
      </c>
      <c r="E75" s="171" t="s">
        <v>674</v>
      </c>
      <c r="F75" s="171" t="s">
        <v>675</v>
      </c>
      <c r="G75" s="172" t="s">
        <v>674</v>
      </c>
      <c r="H75" s="186"/>
    </row>
    <row r="76" spans="1:8" ht="11.25" customHeight="1" x14ac:dyDescent="0.2">
      <c r="A76" s="272" t="s">
        <v>626</v>
      </c>
      <c r="B76" s="272"/>
      <c r="C76" s="272"/>
      <c r="D76" s="170" t="s">
        <v>676</v>
      </c>
      <c r="E76" s="171" t="s">
        <v>676</v>
      </c>
      <c r="F76" s="171" t="s">
        <v>676</v>
      </c>
      <c r="G76" s="172" t="s">
        <v>676</v>
      </c>
      <c r="H76" s="186"/>
    </row>
    <row r="77" spans="1:8" ht="11.25" customHeight="1" x14ac:dyDescent="0.2">
      <c r="A77" s="272" t="s">
        <v>627</v>
      </c>
      <c r="B77" s="272"/>
      <c r="C77" s="272"/>
      <c r="D77" s="170" t="s">
        <v>677</v>
      </c>
      <c r="E77" s="171" t="s">
        <v>678</v>
      </c>
      <c r="F77" s="171" t="s">
        <v>679</v>
      </c>
      <c r="G77" s="172" t="s">
        <v>679</v>
      </c>
      <c r="H77" s="186"/>
    </row>
    <row r="78" spans="1:8" ht="11.25" customHeight="1" x14ac:dyDescent="0.2">
      <c r="A78" s="272" t="s">
        <v>628</v>
      </c>
      <c r="B78" s="272"/>
      <c r="C78" s="272"/>
      <c r="D78" s="170" t="s">
        <v>680</v>
      </c>
      <c r="E78" s="171" t="s">
        <v>681</v>
      </c>
      <c r="F78" s="171" t="s">
        <v>682</v>
      </c>
      <c r="G78" s="172" t="s">
        <v>683</v>
      </c>
      <c r="H78" s="186"/>
    </row>
    <row r="79" spans="1:8" ht="11.25" customHeight="1" x14ac:dyDescent="0.2">
      <c r="A79" s="272" t="s">
        <v>629</v>
      </c>
      <c r="B79" s="272"/>
      <c r="C79" s="272"/>
      <c r="D79" s="170" t="s">
        <v>684</v>
      </c>
      <c r="E79" s="171" t="s">
        <v>685</v>
      </c>
      <c r="F79" s="171" t="s">
        <v>686</v>
      </c>
      <c r="G79" s="172" t="s">
        <v>687</v>
      </c>
      <c r="H79" s="186"/>
    </row>
    <row r="80" spans="1:8" ht="13.7" customHeight="1" x14ac:dyDescent="0.2">
      <c r="A80" s="273" t="s">
        <v>630</v>
      </c>
      <c r="B80" s="273"/>
      <c r="C80" s="273"/>
      <c r="D80" s="189" t="s">
        <v>688</v>
      </c>
      <c r="E80" s="190" t="s">
        <v>689</v>
      </c>
      <c r="F80" s="190" t="s">
        <v>688</v>
      </c>
      <c r="G80" s="191" t="s">
        <v>673</v>
      </c>
      <c r="H80" s="202"/>
    </row>
    <row r="81" spans="1:13" ht="113.25" customHeight="1" x14ac:dyDescent="0.2">
      <c r="A81" s="274" t="s">
        <v>690</v>
      </c>
      <c r="B81" s="274"/>
      <c r="C81" s="274"/>
      <c r="D81" s="274"/>
      <c r="E81" s="274"/>
      <c r="F81" s="274"/>
      <c r="G81" s="274"/>
      <c r="H81" s="274"/>
      <c r="I81" s="274"/>
    </row>
    <row r="82" spans="1:13" ht="12.75" customHeight="1" x14ac:dyDescent="0.2">
      <c r="A82" s="274" t="s">
        <v>691</v>
      </c>
      <c r="B82" s="274"/>
      <c r="C82" s="274"/>
      <c r="D82" s="274"/>
      <c r="E82" s="274"/>
      <c r="F82" s="274"/>
      <c r="G82" s="274"/>
      <c r="H82" s="274"/>
      <c r="I82" s="274"/>
    </row>
    <row r="83" spans="1:13" x14ac:dyDescent="0.2">
      <c r="D83" s="160" t="str">
        <f>D63</f>
        <v>66 558</v>
      </c>
      <c r="E83" s="160" t="str">
        <f>E63</f>
        <v>67 412</v>
      </c>
      <c r="F83" s="160" t="str">
        <f>F63</f>
        <v>67 632</v>
      </c>
      <c r="G83" s="160" t="str">
        <f>G63</f>
        <v>69 250</v>
      </c>
    </row>
    <row r="85" spans="1:13" x14ac:dyDescent="0.2">
      <c r="A85" s="275" t="s">
        <v>618</v>
      </c>
      <c r="B85" s="275"/>
      <c r="C85" s="275"/>
      <c r="D85" s="193">
        <v>2019</v>
      </c>
      <c r="E85" s="194">
        <v>2018</v>
      </c>
      <c r="F85" s="194">
        <v>2017</v>
      </c>
      <c r="G85" s="195">
        <v>2016</v>
      </c>
      <c r="J85" s="160">
        <v>2019</v>
      </c>
      <c r="K85" s="160">
        <v>2018</v>
      </c>
      <c r="L85" s="160">
        <v>2017</v>
      </c>
      <c r="M85" s="160">
        <v>2016</v>
      </c>
    </row>
    <row r="86" spans="1:13" x14ac:dyDescent="0.2">
      <c r="A86" s="276" t="s">
        <v>640</v>
      </c>
      <c r="B86" s="276"/>
      <c r="C86" s="276"/>
      <c r="D86" s="197">
        <f>D14*gwpch4+D23*gwpn2o+D32+D41+D50</f>
        <v>66558.41</v>
      </c>
      <c r="E86" s="197">
        <f>E14*gwpch4+E23*gwpn2o+E32+E41+E50</f>
        <v>67424.97</v>
      </c>
      <c r="F86" s="197">
        <f>F14*gwpch4+F23*gwpn2o+F32+F41+F50</f>
        <v>67637.38</v>
      </c>
      <c r="G86" s="197">
        <f>G14*gwpch4+G23*gwpn2o+G32+G41+G50</f>
        <v>69251.47</v>
      </c>
      <c r="I86" s="160" t="s">
        <v>101</v>
      </c>
      <c r="J86" s="188">
        <f>J14+J23+J32</f>
        <v>58905.36</v>
      </c>
      <c r="K86" s="188">
        <f>K14+K23+K32</f>
        <v>59668.38</v>
      </c>
      <c r="L86" s="188">
        <f>L14+L23+L32</f>
        <v>59977.599999999999</v>
      </c>
      <c r="M86" s="188">
        <f>M14+M23+M32</f>
        <v>61204.95</v>
      </c>
    </row>
    <row r="87" spans="1:13" x14ac:dyDescent="0.2">
      <c r="A87" s="272" t="s">
        <v>623</v>
      </c>
      <c r="B87" s="272"/>
      <c r="C87" s="272"/>
      <c r="D87" s="197">
        <f t="shared" ref="D87:D94" si="10">D15*gwpch4+D24*gwpn2o+D33+D42+D51</f>
        <v>56492.08</v>
      </c>
      <c r="E87" s="171" t="s">
        <v>646</v>
      </c>
      <c r="F87" s="171">
        <v>57267</v>
      </c>
      <c r="G87" s="172" t="s">
        <v>648</v>
      </c>
      <c r="I87" s="188" t="s">
        <v>623</v>
      </c>
      <c r="J87" s="188">
        <f t="shared" ref="J87:M94" si="11">J15+J24+J33</f>
        <v>50896.08</v>
      </c>
      <c r="K87" s="188">
        <f t="shared" si="11"/>
        <v>52022.1</v>
      </c>
      <c r="L87" s="188">
        <f t="shared" si="11"/>
        <v>51673.599999999999</v>
      </c>
      <c r="M87" s="188">
        <f t="shared" si="11"/>
        <v>52546.06</v>
      </c>
    </row>
    <row r="88" spans="1:13" x14ac:dyDescent="0.2">
      <c r="A88" s="272" t="s">
        <v>624</v>
      </c>
      <c r="B88" s="272"/>
      <c r="C88" s="272"/>
      <c r="D88" s="197">
        <f t="shared" si="10"/>
        <v>5295.9</v>
      </c>
      <c r="E88" s="171" t="s">
        <v>650</v>
      </c>
      <c r="F88" s="171" t="s">
        <v>651</v>
      </c>
      <c r="G88" s="172" t="s">
        <v>652</v>
      </c>
      <c r="I88" s="188" t="s">
        <v>624</v>
      </c>
      <c r="J88" s="188">
        <f t="shared" si="11"/>
        <v>4895.8999999999996</v>
      </c>
      <c r="K88" s="188">
        <f t="shared" si="11"/>
        <v>4760.4799999999996</v>
      </c>
      <c r="L88" s="188">
        <f t="shared" si="11"/>
        <v>5235.0200000000004</v>
      </c>
      <c r="M88" s="188">
        <f t="shared" si="11"/>
        <v>5479.86</v>
      </c>
    </row>
    <row r="89" spans="1:13" x14ac:dyDescent="0.2">
      <c r="A89" s="272" t="s">
        <v>625</v>
      </c>
      <c r="B89" s="272"/>
      <c r="C89" s="272"/>
      <c r="D89" s="197">
        <f t="shared" si="10"/>
        <v>822.27</v>
      </c>
      <c r="E89" s="175">
        <v>797</v>
      </c>
      <c r="F89" s="175">
        <v>807</v>
      </c>
      <c r="G89" s="176">
        <v>847</v>
      </c>
      <c r="I89" s="188" t="s">
        <v>625</v>
      </c>
      <c r="J89" s="188">
        <f t="shared" si="11"/>
        <v>96.27000000000001</v>
      </c>
      <c r="K89" s="188">
        <f t="shared" si="11"/>
        <v>99.649999999999991</v>
      </c>
      <c r="L89" s="188">
        <f t="shared" si="11"/>
        <v>101.79</v>
      </c>
      <c r="M89" s="188">
        <f t="shared" si="11"/>
        <v>108.22999999999999</v>
      </c>
    </row>
    <row r="90" spans="1:13" x14ac:dyDescent="0.2">
      <c r="A90" s="272" t="s">
        <v>626</v>
      </c>
      <c r="B90" s="272"/>
      <c r="C90" s="272"/>
      <c r="D90" s="197">
        <f t="shared" si="10"/>
        <v>1221</v>
      </c>
      <c r="E90" s="171" t="s">
        <v>654</v>
      </c>
      <c r="F90" s="171" t="s">
        <v>655</v>
      </c>
      <c r="G90" s="172" t="s">
        <v>656</v>
      </c>
      <c r="I90" s="188" t="s">
        <v>626</v>
      </c>
      <c r="J90" s="188">
        <f t="shared" si="11"/>
        <v>932</v>
      </c>
      <c r="K90" s="188">
        <f t="shared" si="11"/>
        <v>791</v>
      </c>
      <c r="L90" s="188">
        <f t="shared" si="11"/>
        <v>903</v>
      </c>
      <c r="M90" s="188">
        <f t="shared" si="11"/>
        <v>938</v>
      </c>
    </row>
    <row r="91" spans="1:13" x14ac:dyDescent="0.2">
      <c r="A91" s="272" t="s">
        <v>627</v>
      </c>
      <c r="B91" s="272"/>
      <c r="C91" s="272"/>
      <c r="D91" s="197">
        <f t="shared" si="10"/>
        <v>718</v>
      </c>
      <c r="E91" s="175">
        <v>823</v>
      </c>
      <c r="F91" s="175">
        <v>943</v>
      </c>
      <c r="G91" s="176">
        <v>910</v>
      </c>
      <c r="I91" s="188" t="s">
        <v>627</v>
      </c>
      <c r="J91" s="188">
        <f t="shared" si="11"/>
        <v>610</v>
      </c>
      <c r="K91" s="188">
        <f t="shared" si="11"/>
        <v>698</v>
      </c>
      <c r="L91" s="188">
        <f t="shared" si="11"/>
        <v>773</v>
      </c>
      <c r="M91" s="188">
        <f t="shared" si="11"/>
        <v>748</v>
      </c>
    </row>
    <row r="92" spans="1:13" ht="22.5" x14ac:dyDescent="0.2">
      <c r="A92" s="272" t="s">
        <v>628</v>
      </c>
      <c r="B92" s="272"/>
      <c r="C92" s="272"/>
      <c r="D92" s="197">
        <f t="shared" si="10"/>
        <v>1664.88</v>
      </c>
      <c r="E92" s="171" t="s">
        <v>658</v>
      </c>
      <c r="F92" s="171" t="s">
        <v>659</v>
      </c>
      <c r="G92" s="172" t="s">
        <v>660</v>
      </c>
      <c r="I92" s="188" t="s">
        <v>628</v>
      </c>
      <c r="J92" s="188">
        <f t="shared" si="11"/>
        <v>1166.8800000000001</v>
      </c>
      <c r="K92" s="188">
        <f t="shared" si="11"/>
        <v>991.88</v>
      </c>
      <c r="L92" s="188">
        <f t="shared" si="11"/>
        <v>978</v>
      </c>
      <c r="M92" s="188">
        <f t="shared" si="11"/>
        <v>953</v>
      </c>
    </row>
    <row r="93" spans="1:13" x14ac:dyDescent="0.2">
      <c r="A93" s="272" t="s">
        <v>629</v>
      </c>
      <c r="B93" s="272"/>
      <c r="C93" s="272"/>
      <c r="D93" s="197">
        <f t="shared" si="10"/>
        <v>261.05</v>
      </c>
      <c r="E93" s="175">
        <v>258</v>
      </c>
      <c r="F93" s="175">
        <v>260</v>
      </c>
      <c r="G93" s="176">
        <v>274</v>
      </c>
      <c r="I93" s="188" t="s">
        <v>629</v>
      </c>
      <c r="J93" s="188">
        <f t="shared" si="11"/>
        <v>261</v>
      </c>
      <c r="K93" s="188">
        <f t="shared" si="11"/>
        <v>258</v>
      </c>
      <c r="L93" s="188">
        <f t="shared" si="11"/>
        <v>260</v>
      </c>
      <c r="M93" s="188">
        <f t="shared" si="11"/>
        <v>273</v>
      </c>
    </row>
    <row r="94" spans="1:13" ht="12.95" customHeight="1" x14ac:dyDescent="0.2">
      <c r="A94" s="272" t="s">
        <v>630</v>
      </c>
      <c r="B94" s="272"/>
      <c r="C94" s="272"/>
      <c r="D94" s="197">
        <f t="shared" si="10"/>
        <v>83.22999999999999</v>
      </c>
      <c r="E94" s="175">
        <v>88</v>
      </c>
      <c r="F94" s="175">
        <v>89</v>
      </c>
      <c r="G94" s="176">
        <v>198</v>
      </c>
      <c r="I94" s="188" t="s">
        <v>630</v>
      </c>
      <c r="J94" s="188">
        <f t="shared" si="11"/>
        <v>47.23</v>
      </c>
      <c r="K94" s="188">
        <f t="shared" si="11"/>
        <v>51.23</v>
      </c>
      <c r="L94" s="188">
        <f t="shared" si="11"/>
        <v>51.23</v>
      </c>
      <c r="M94" s="188">
        <f t="shared" si="11"/>
        <v>159.03</v>
      </c>
    </row>
    <row r="96" spans="1:13" x14ac:dyDescent="0.2">
      <c r="D96" s="160" t="s">
        <v>82</v>
      </c>
      <c r="E96" s="160" t="s">
        <v>692</v>
      </c>
    </row>
    <row r="97" spans="4:6" x14ac:dyDescent="0.2">
      <c r="D97" s="160" t="s">
        <v>693</v>
      </c>
      <c r="E97" s="160">
        <v>296</v>
      </c>
    </row>
    <row r="98" spans="4:6" x14ac:dyDescent="0.2">
      <c r="D98" s="160" t="s">
        <v>694</v>
      </c>
      <c r="E98" s="160">
        <v>23</v>
      </c>
    </row>
    <row r="100" spans="4:6" x14ac:dyDescent="0.2">
      <c r="E100" s="160" t="s">
        <v>692</v>
      </c>
      <c r="F100" s="160" t="s">
        <v>695</v>
      </c>
    </row>
    <row r="101" spans="4:6" x14ac:dyDescent="0.2">
      <c r="E101" s="160">
        <v>310</v>
      </c>
      <c r="F101" s="160">
        <v>296</v>
      </c>
    </row>
    <row r="102" spans="4:6" x14ac:dyDescent="0.2">
      <c r="E102" s="160">
        <v>21</v>
      </c>
      <c r="F102" s="160">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99646027-454E-456E-BEBA-4D9BE504D37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01088-4C60-4C09-A12A-9AAB9415BD5D}">
  <dimension ref="B1:O51"/>
  <sheetViews>
    <sheetView topLeftCell="A28" workbookViewId="0">
      <selection activeCell="C51" sqref="C51"/>
    </sheetView>
  </sheetViews>
  <sheetFormatPr defaultColWidth="14.6640625" defaultRowHeight="15.75" x14ac:dyDescent="0.25"/>
  <cols>
    <col min="1" max="1" width="14.6640625" style="140"/>
    <col min="2" max="2" width="72.6640625" style="140" customWidth="1"/>
    <col min="3" max="3" width="32.5" style="140" customWidth="1"/>
    <col min="4" max="8" width="14.6640625" style="140"/>
    <col min="9" max="9" width="20" style="140" customWidth="1"/>
    <col min="10" max="10" width="30.83203125" style="140" customWidth="1"/>
    <col min="11" max="11" width="66.5" style="140" customWidth="1"/>
    <col min="12" max="12" width="42.83203125" style="140" customWidth="1"/>
    <col min="13" max="15" width="14.6640625" style="140"/>
    <col min="16" max="18" width="23.33203125" style="140" customWidth="1"/>
    <col min="19" max="19" width="17.1640625" style="140" customWidth="1"/>
    <col min="20" max="16384" width="14.6640625" style="140"/>
  </cols>
  <sheetData>
    <row r="1" spans="2:15" x14ac:dyDescent="0.25">
      <c r="D1" s="205" t="s">
        <v>696</v>
      </c>
      <c r="E1" s="206">
        <f>SUM(E4:E22)</f>
        <v>3.0571015334447922</v>
      </c>
      <c r="F1" s="207"/>
      <c r="J1" s="205">
        <f>SUM(J4:J22)</f>
        <v>1.68915604828682</v>
      </c>
      <c r="K1" s="205" t="s">
        <v>697</v>
      </c>
    </row>
    <row r="2" spans="2:15" ht="16.5" thickBot="1" x14ac:dyDescent="0.3"/>
    <row r="3" spans="2:15" ht="79.5" thickBot="1" x14ac:dyDescent="0.3">
      <c r="B3" s="208" t="s">
        <v>698</v>
      </c>
      <c r="C3" s="209" t="s">
        <v>699</v>
      </c>
      <c r="D3" s="210" t="s">
        <v>700</v>
      </c>
      <c r="E3" s="211" t="s">
        <v>701</v>
      </c>
      <c r="F3" s="211" t="s">
        <v>702</v>
      </c>
      <c r="G3" s="211" t="s">
        <v>703</v>
      </c>
      <c r="H3" s="212" t="s">
        <v>704</v>
      </c>
      <c r="I3" s="213" t="s">
        <v>705</v>
      </c>
      <c r="J3" s="213" t="s">
        <v>706</v>
      </c>
      <c r="K3" s="213" t="s">
        <v>707</v>
      </c>
      <c r="N3" s="214"/>
      <c r="O3" s="214"/>
    </row>
    <row r="4" spans="2:15" x14ac:dyDescent="0.25">
      <c r="B4" s="215" t="s">
        <v>708</v>
      </c>
      <c r="D4" s="140" t="s">
        <v>709</v>
      </c>
      <c r="E4" s="207">
        <f>F4/$F$4</f>
        <v>1</v>
      </c>
      <c r="F4" s="216">
        <f>G4*10^6</f>
        <v>2820000000</v>
      </c>
      <c r="G4" s="140">
        <v>2820</v>
      </c>
      <c r="H4" s="140" t="s">
        <v>710</v>
      </c>
      <c r="I4" s="140">
        <v>0.71</v>
      </c>
      <c r="J4" s="140">
        <f>E4*I4</f>
        <v>0.71</v>
      </c>
      <c r="K4" s="217">
        <f>J4/$J$1</f>
        <v>0.42032824659397094</v>
      </c>
      <c r="N4" s="207"/>
    </row>
    <row r="5" spans="2:15" x14ac:dyDescent="0.25">
      <c r="B5" s="215" t="s">
        <v>711</v>
      </c>
      <c r="D5" s="140" t="s">
        <v>709</v>
      </c>
      <c r="E5" s="207">
        <f t="shared" ref="E5:E46" si="0">F5/$F$4</f>
        <v>0.33333333333333331</v>
      </c>
      <c r="F5" s="218">
        <f>G5*10^6</f>
        <v>940000000</v>
      </c>
      <c r="G5" s="140">
        <v>940</v>
      </c>
      <c r="H5" s="140" t="s">
        <v>710</v>
      </c>
      <c r="I5" s="140">
        <v>0.4</v>
      </c>
      <c r="J5" s="140">
        <f t="shared" ref="J5:J22" si="1">E5*I5</f>
        <v>0.13333333333333333</v>
      </c>
      <c r="K5" s="217">
        <f t="shared" ref="K5:K22" si="2">J5/$J$1</f>
        <v>7.8934881989478109E-2</v>
      </c>
      <c r="N5" s="219"/>
      <c r="O5" s="219"/>
    </row>
    <row r="6" spans="2:15" x14ac:dyDescent="0.25">
      <c r="B6" s="215" t="s">
        <v>712</v>
      </c>
      <c r="D6" s="140" t="s">
        <v>709</v>
      </c>
      <c r="E6" s="207">
        <f t="shared" si="0"/>
        <v>4.8226950354609929E-2</v>
      </c>
      <c r="F6" s="218">
        <f t="shared" ref="F6:F20" si="3">G6*10^6</f>
        <v>136000000</v>
      </c>
      <c r="G6" s="140">
        <v>136</v>
      </c>
      <c r="H6" s="140" t="s">
        <v>710</v>
      </c>
      <c r="I6" s="140">
        <v>0.27600000000000002</v>
      </c>
      <c r="J6" s="140">
        <f t="shared" si="1"/>
        <v>1.3310638297872341E-2</v>
      </c>
      <c r="K6" s="217">
        <f t="shared" si="2"/>
        <v>7.8800524743538585E-3</v>
      </c>
      <c r="N6" s="219"/>
      <c r="O6" s="219"/>
    </row>
    <row r="7" spans="2:15" x14ac:dyDescent="0.25">
      <c r="B7" s="215" t="s">
        <v>713</v>
      </c>
      <c r="D7" s="140" t="s">
        <v>709</v>
      </c>
      <c r="E7" s="207">
        <f t="shared" si="0"/>
        <v>0.24255319148936169</v>
      </c>
      <c r="F7" s="218">
        <f t="shared" si="3"/>
        <v>684000000</v>
      </c>
      <c r="G7" s="140">
        <v>684</v>
      </c>
      <c r="H7" s="140" t="s">
        <v>710</v>
      </c>
      <c r="I7" s="140">
        <v>0.13800000000000001</v>
      </c>
      <c r="J7" s="140">
        <f t="shared" si="1"/>
        <v>3.3472340425531918E-2</v>
      </c>
      <c r="K7" s="217">
        <f t="shared" si="2"/>
        <v>1.9816014310507498E-2</v>
      </c>
      <c r="N7" s="219"/>
      <c r="O7" s="219"/>
    </row>
    <row r="8" spans="2:15" x14ac:dyDescent="0.25">
      <c r="B8" s="215" t="s">
        <v>714</v>
      </c>
      <c r="C8" s="218"/>
      <c r="D8" s="140" t="s">
        <v>180</v>
      </c>
      <c r="E8" s="207">
        <f t="shared" si="0"/>
        <v>0.20957446808510638</v>
      </c>
      <c r="F8" s="218">
        <f t="shared" si="3"/>
        <v>591000000</v>
      </c>
      <c r="G8" s="140">
        <v>591</v>
      </c>
      <c r="H8" s="140" t="s">
        <v>710</v>
      </c>
      <c r="I8" s="140">
        <v>0.16600000000000001</v>
      </c>
      <c r="J8" s="140">
        <f t="shared" si="1"/>
        <v>3.4789361702127659E-2</v>
      </c>
      <c r="K8" s="217">
        <f t="shared" si="2"/>
        <v>2.0595706203350373E-2</v>
      </c>
      <c r="N8" s="219"/>
      <c r="O8" s="219"/>
    </row>
    <row r="9" spans="2:15" x14ac:dyDescent="0.25">
      <c r="B9" s="215" t="s">
        <v>715</v>
      </c>
      <c r="D9" s="140" t="s">
        <v>709</v>
      </c>
      <c r="E9" s="207">
        <f t="shared" si="0"/>
        <v>6.2056737588652482E-2</v>
      </c>
      <c r="F9" s="218">
        <f t="shared" si="3"/>
        <v>175000000</v>
      </c>
      <c r="G9" s="220">
        <v>175</v>
      </c>
      <c r="H9" s="140" t="s">
        <v>710</v>
      </c>
      <c r="I9" s="140">
        <v>0.57999999999999996</v>
      </c>
      <c r="J9" s="140">
        <f t="shared" si="1"/>
        <v>3.5992907801418436E-2</v>
      </c>
      <c r="K9" s="217">
        <f t="shared" si="2"/>
        <v>2.1308219473223478E-2</v>
      </c>
      <c r="N9" s="219"/>
      <c r="O9" s="219"/>
    </row>
    <row r="10" spans="2:15" x14ac:dyDescent="0.25">
      <c r="B10" s="215" t="s">
        <v>716</v>
      </c>
      <c r="D10" s="140" t="s">
        <v>709</v>
      </c>
      <c r="E10" s="207">
        <f t="shared" si="0"/>
        <v>2.1276595744680851E-2</v>
      </c>
      <c r="F10" s="218">
        <f t="shared" si="3"/>
        <v>60000000</v>
      </c>
      <c r="G10" s="220">
        <v>60</v>
      </c>
      <c r="H10" s="140" t="s">
        <v>710</v>
      </c>
      <c r="I10" s="140">
        <v>0.63400000000000001</v>
      </c>
      <c r="J10" s="140">
        <f t="shared" si="1"/>
        <v>1.348936170212766E-2</v>
      </c>
      <c r="K10" s="217">
        <f t="shared" si="2"/>
        <v>7.9858588055312443E-3</v>
      </c>
      <c r="N10" s="219"/>
      <c r="O10" s="219"/>
    </row>
    <row r="11" spans="2:15" x14ac:dyDescent="0.25">
      <c r="B11" s="215" t="s">
        <v>717</v>
      </c>
      <c r="D11" s="140" t="s">
        <v>709</v>
      </c>
      <c r="E11" s="207">
        <f t="shared" si="0"/>
        <v>4.042553191489362E-2</v>
      </c>
      <c r="F11" s="218">
        <f t="shared" si="3"/>
        <v>114000000</v>
      </c>
      <c r="G11" s="220">
        <v>114</v>
      </c>
      <c r="H11" s="140" t="s">
        <v>710</v>
      </c>
      <c r="I11" s="140">
        <v>0.36499999999999999</v>
      </c>
      <c r="J11" s="140">
        <f t="shared" si="1"/>
        <v>1.475531914893617E-2</v>
      </c>
      <c r="K11" s="217">
        <f t="shared" si="2"/>
        <v>8.7353203180377242E-3</v>
      </c>
      <c r="N11" s="219"/>
      <c r="O11" s="219"/>
    </row>
    <row r="12" spans="2:15" x14ac:dyDescent="0.25">
      <c r="B12" s="215" t="s">
        <v>718</v>
      </c>
      <c r="D12" s="140" t="s">
        <v>709</v>
      </c>
      <c r="E12" s="207">
        <f t="shared" si="0"/>
        <v>2.4822695035460994E-2</v>
      </c>
      <c r="F12" s="218">
        <f t="shared" si="3"/>
        <v>70000000</v>
      </c>
      <c r="G12" s="220">
        <v>70</v>
      </c>
      <c r="H12" s="140" t="s">
        <v>710</v>
      </c>
      <c r="I12" s="140">
        <v>0.83</v>
      </c>
      <c r="J12" s="140">
        <f t="shared" si="1"/>
        <v>2.0602836879432623E-2</v>
      </c>
      <c r="K12" s="217">
        <f t="shared" si="2"/>
        <v>1.2197118732948613E-2</v>
      </c>
      <c r="N12" s="219"/>
      <c r="O12" s="219"/>
    </row>
    <row r="13" spans="2:15" x14ac:dyDescent="0.25">
      <c r="B13" s="215" t="s">
        <v>719</v>
      </c>
      <c r="D13" s="140" t="s">
        <v>709</v>
      </c>
      <c r="E13" s="207">
        <f t="shared" si="0"/>
        <v>5.3191489361702126E-3</v>
      </c>
      <c r="F13" s="218">
        <f t="shared" si="3"/>
        <v>15000000</v>
      </c>
      <c r="G13" s="220">
        <v>15</v>
      </c>
      <c r="H13" s="140" t="s">
        <v>710</v>
      </c>
      <c r="I13" s="140">
        <v>0.54600000000000004</v>
      </c>
      <c r="J13" s="140">
        <f t="shared" si="1"/>
        <v>2.9042553191489361E-3</v>
      </c>
      <c r="K13" s="217">
        <f t="shared" si="2"/>
        <v>1.7193528816325154E-3</v>
      </c>
      <c r="N13" s="219"/>
      <c r="O13" s="219"/>
    </row>
    <row r="14" spans="2:15" x14ac:dyDescent="0.25">
      <c r="B14" s="215" t="s">
        <v>720</v>
      </c>
      <c r="D14" s="140" t="s">
        <v>709</v>
      </c>
      <c r="E14" s="207">
        <f t="shared" si="0"/>
        <v>5.3191489361702128E-2</v>
      </c>
      <c r="F14" s="218">
        <f t="shared" si="3"/>
        <v>150000000</v>
      </c>
      <c r="G14" s="220">
        <v>150</v>
      </c>
      <c r="H14" s="140" t="s">
        <v>710</v>
      </c>
      <c r="I14" s="140">
        <v>0.54600000000000004</v>
      </c>
      <c r="J14" s="140">
        <f t="shared" si="1"/>
        <v>2.9042553191489365E-2</v>
      </c>
      <c r="K14" s="217">
        <f t="shared" si="2"/>
        <v>1.7193528816325156E-2</v>
      </c>
      <c r="N14" s="219"/>
      <c r="O14" s="219"/>
    </row>
    <row r="15" spans="2:15" x14ac:dyDescent="0.25">
      <c r="B15" s="215" t="s">
        <v>721</v>
      </c>
      <c r="D15" s="140" t="s">
        <v>709</v>
      </c>
      <c r="E15" s="207">
        <f t="shared" si="0"/>
        <v>3.535460992907799E-2</v>
      </c>
      <c r="F15" s="218">
        <f t="shared" si="3"/>
        <v>99699999.999999925</v>
      </c>
      <c r="G15" s="220">
        <f>64.6999999999999+136+93-194</f>
        <v>99.699999999999932</v>
      </c>
      <c r="H15" s="140" t="s">
        <v>710</v>
      </c>
      <c r="I15" s="140">
        <v>1.57</v>
      </c>
      <c r="J15" s="140">
        <f t="shared" si="1"/>
        <v>5.5506737588652447E-2</v>
      </c>
      <c r="K15" s="217">
        <f t="shared" si="2"/>
        <v>3.2860633358859075E-2</v>
      </c>
      <c r="N15" s="219"/>
      <c r="O15" s="219"/>
    </row>
    <row r="16" spans="2:15" x14ac:dyDescent="0.25">
      <c r="B16" s="215" t="s">
        <v>722</v>
      </c>
      <c r="C16" s="215"/>
      <c r="D16" s="215" t="s">
        <v>709</v>
      </c>
      <c r="E16" s="221">
        <f t="shared" si="0"/>
        <v>0.21808510638297873</v>
      </c>
      <c r="F16" s="222">
        <f t="shared" si="3"/>
        <v>615000000</v>
      </c>
      <c r="G16" s="223">
        <v>615</v>
      </c>
      <c r="H16" s="215" t="s">
        <v>710</v>
      </c>
      <c r="I16" s="215">
        <v>0.754</v>
      </c>
      <c r="J16" s="215">
        <f t="shared" si="1"/>
        <v>0.16443617021276596</v>
      </c>
      <c r="K16" s="224">
        <f t="shared" si="2"/>
        <v>9.7348122679098134E-2</v>
      </c>
      <c r="N16" s="219"/>
      <c r="O16" s="219"/>
    </row>
    <row r="17" spans="2:15" x14ac:dyDescent="0.25">
      <c r="B17" s="215" t="s">
        <v>723</v>
      </c>
      <c r="C17" s="215"/>
      <c r="D17" s="215" t="s">
        <v>709</v>
      </c>
      <c r="E17" s="221">
        <f t="shared" si="0"/>
        <v>0.33687943262411346</v>
      </c>
      <c r="F17" s="222">
        <f t="shared" si="3"/>
        <v>950000000</v>
      </c>
      <c r="G17" s="223">
        <v>950</v>
      </c>
      <c r="H17" s="215" t="s">
        <v>710</v>
      </c>
      <c r="I17" s="215">
        <v>0.754</v>
      </c>
      <c r="J17" s="215">
        <f t="shared" si="1"/>
        <v>0.25400709219858153</v>
      </c>
      <c r="K17" s="224">
        <f t="shared" si="2"/>
        <v>0.15037514885389142</v>
      </c>
      <c r="N17" s="219"/>
      <c r="O17" s="219"/>
    </row>
    <row r="18" spans="2:15" x14ac:dyDescent="0.25">
      <c r="B18" s="215" t="s">
        <v>724</v>
      </c>
      <c r="D18" s="140" t="s">
        <v>709</v>
      </c>
      <c r="E18" s="207">
        <f t="shared" si="0"/>
        <v>6.4986216103462668E-2</v>
      </c>
      <c r="F18" s="218">
        <v>183261129.41176474</v>
      </c>
      <c r="G18" s="220">
        <v>183.26112941176473</v>
      </c>
      <c r="H18" s="140" t="s">
        <v>710</v>
      </c>
      <c r="I18" s="140">
        <v>0.13100000000000001</v>
      </c>
      <c r="J18" s="140">
        <f t="shared" si="1"/>
        <v>8.5131943095536101E-3</v>
      </c>
      <c r="K18" s="217">
        <f t="shared" si="2"/>
        <v>5.039909911335831E-3</v>
      </c>
      <c r="N18" s="219"/>
      <c r="O18" s="219"/>
    </row>
    <row r="19" spans="2:15" x14ac:dyDescent="0.25">
      <c r="B19" s="215" t="s">
        <v>725</v>
      </c>
      <c r="D19" s="140" t="s">
        <v>709</v>
      </c>
      <c r="E19" s="207">
        <f t="shared" si="0"/>
        <v>4.9645390070921988E-2</v>
      </c>
      <c r="F19" s="218">
        <f t="shared" si="3"/>
        <v>140000000</v>
      </c>
      <c r="G19" s="220">
        <v>140</v>
      </c>
      <c r="H19" s="140" t="s">
        <v>710</v>
      </c>
      <c r="I19" s="140">
        <v>1.6</v>
      </c>
      <c r="J19" s="140">
        <f t="shared" si="1"/>
        <v>7.9432624113475181E-2</v>
      </c>
      <c r="K19" s="217">
        <f t="shared" si="2"/>
        <v>4.7025036078838026E-2</v>
      </c>
      <c r="N19" s="219"/>
      <c r="O19" s="219"/>
    </row>
    <row r="20" spans="2:15" x14ac:dyDescent="0.25">
      <c r="B20" s="215" t="s">
        <v>726</v>
      </c>
      <c r="D20" s="140" t="s">
        <v>709</v>
      </c>
      <c r="E20" s="207">
        <f t="shared" si="0"/>
        <v>2.8368794326241134E-2</v>
      </c>
      <c r="F20" s="218">
        <f t="shared" si="3"/>
        <v>80000000</v>
      </c>
      <c r="G20" s="220">
        <v>80</v>
      </c>
      <c r="H20" s="140" t="s">
        <v>710</v>
      </c>
      <c r="I20" s="140">
        <v>0.22</v>
      </c>
      <c r="J20" s="140">
        <f t="shared" si="1"/>
        <v>6.2411347517730498E-3</v>
      </c>
      <c r="K20" s="217">
        <f t="shared" si="2"/>
        <v>3.6948242633372736E-3</v>
      </c>
      <c r="N20" s="219"/>
      <c r="O20" s="219"/>
    </row>
    <row r="21" spans="2:15" x14ac:dyDescent="0.25">
      <c r="B21" s="225" t="s">
        <v>727</v>
      </c>
      <c r="C21" s="226"/>
      <c r="D21" s="226" t="s">
        <v>709</v>
      </c>
      <c r="E21" s="207">
        <f t="shared" si="0"/>
        <v>0.16858510638297874</v>
      </c>
      <c r="F21" s="227">
        <f>G21*10^6</f>
        <v>475410000.00000006</v>
      </c>
      <c r="G21" s="220">
        <f>(2.6*159*10^6*1.15)/1000/1000</f>
        <v>475.41000000000008</v>
      </c>
      <c r="H21" s="140" t="s">
        <v>710</v>
      </c>
      <c r="I21" s="140">
        <v>0.23300000000000001</v>
      </c>
      <c r="J21" s="140">
        <f t="shared" si="1"/>
        <v>3.9280329787234051E-2</v>
      </c>
      <c r="K21" s="217">
        <f t="shared" si="2"/>
        <v>2.3254411471973265E-2</v>
      </c>
      <c r="N21" s="219"/>
      <c r="O21" s="219"/>
    </row>
    <row r="22" spans="2:15" x14ac:dyDescent="0.25">
      <c r="B22" s="228" t="s">
        <v>728</v>
      </c>
      <c r="C22" s="226"/>
      <c r="D22" s="226" t="s">
        <v>709</v>
      </c>
      <c r="E22" s="207">
        <f t="shared" si="0"/>
        <v>0.11441673578104565</v>
      </c>
      <c r="F22" s="218">
        <v>322655194.90254873</v>
      </c>
      <c r="G22" s="229">
        <v>322.65519490254871</v>
      </c>
      <c r="H22" s="226" t="s">
        <v>729</v>
      </c>
      <c r="I22" s="140">
        <v>0.35</v>
      </c>
      <c r="J22" s="140">
        <f t="shared" si="1"/>
        <v>4.0045857523365973E-2</v>
      </c>
      <c r="K22" s="217">
        <f t="shared" si="2"/>
        <v>2.3707612783307606E-2</v>
      </c>
      <c r="N22" s="219"/>
      <c r="O22" s="219"/>
    </row>
    <row r="23" spans="2:15" x14ac:dyDescent="0.25">
      <c r="E23" s="207"/>
      <c r="F23" s="218"/>
      <c r="G23" s="220"/>
      <c r="K23" s="224">
        <f>SUM(K4:K22)</f>
        <v>1</v>
      </c>
      <c r="N23" s="219"/>
      <c r="O23" s="219"/>
    </row>
    <row r="24" spans="2:15" x14ac:dyDescent="0.25">
      <c r="B24" s="215" t="s">
        <v>730</v>
      </c>
      <c r="D24" s="140" t="s">
        <v>709</v>
      </c>
      <c r="E24" s="207">
        <f t="shared" si="0"/>
        <v>5.4609929078014187E-2</v>
      </c>
      <c r="F24" s="218">
        <f>G24*10^6</f>
        <v>154000000</v>
      </c>
      <c r="G24" s="220">
        <f>154</f>
        <v>154</v>
      </c>
      <c r="H24" s="140" t="s">
        <v>710</v>
      </c>
      <c r="N24" s="219"/>
      <c r="O24" s="219"/>
    </row>
    <row r="25" spans="2:15" x14ac:dyDescent="0.25">
      <c r="B25" s="215" t="s">
        <v>731</v>
      </c>
      <c r="D25" s="140" t="s">
        <v>709</v>
      </c>
      <c r="E25" s="207">
        <f t="shared" si="0"/>
        <v>4.1581560283687935</v>
      </c>
      <c r="F25" s="218">
        <v>11725999999.999998</v>
      </c>
      <c r="G25" s="220">
        <v>11725.999999999998</v>
      </c>
      <c r="H25" s="140" t="s">
        <v>710</v>
      </c>
      <c r="N25" s="219"/>
      <c r="O25" s="219"/>
    </row>
    <row r="26" spans="2:15" x14ac:dyDescent="0.25">
      <c r="E26" s="207"/>
      <c r="F26" s="218"/>
      <c r="N26" s="219"/>
      <c r="O26" s="219"/>
    </row>
    <row r="27" spans="2:15" x14ac:dyDescent="0.25">
      <c r="B27" s="215" t="s">
        <v>732</v>
      </c>
      <c r="C27" s="140" t="s">
        <v>733</v>
      </c>
      <c r="D27" s="140" t="s">
        <v>709</v>
      </c>
      <c r="E27" s="207">
        <f t="shared" si="0"/>
        <v>4.5648936170212764</v>
      </c>
      <c r="F27" s="218">
        <f>G27*10^6</f>
        <v>12873000000</v>
      </c>
      <c r="G27" s="220">
        <f>12873</f>
        <v>12873</v>
      </c>
      <c r="H27" s="140" t="s">
        <v>710</v>
      </c>
      <c r="N27" s="219"/>
      <c r="O27" s="219"/>
    </row>
    <row r="28" spans="2:15" x14ac:dyDescent="0.25">
      <c r="B28" s="215" t="s">
        <v>734</v>
      </c>
      <c r="C28" s="140" t="s">
        <v>735</v>
      </c>
      <c r="D28" s="140" t="s">
        <v>180</v>
      </c>
      <c r="E28" s="207">
        <f t="shared" si="0"/>
        <v>3.3005319148936167E-2</v>
      </c>
      <c r="F28" s="218">
        <v>93075000</v>
      </c>
      <c r="G28" s="140">
        <v>93075</v>
      </c>
      <c r="H28" s="140" t="s">
        <v>736</v>
      </c>
      <c r="N28" s="219"/>
      <c r="O28" s="219"/>
    </row>
    <row r="29" spans="2:15" x14ac:dyDescent="0.25">
      <c r="B29" s="215" t="s">
        <v>737</v>
      </c>
      <c r="C29" s="140" t="s">
        <v>738</v>
      </c>
      <c r="D29" s="140" t="s">
        <v>739</v>
      </c>
      <c r="E29" s="207">
        <f t="shared" si="0"/>
        <v>2.9255319148936171E-2</v>
      </c>
      <c r="F29" s="218">
        <f>G29*10^6</f>
        <v>82500000</v>
      </c>
      <c r="G29" s="230">
        <v>82.5</v>
      </c>
      <c r="H29" s="140" t="s">
        <v>740</v>
      </c>
    </row>
    <row r="30" spans="2:15" x14ac:dyDescent="0.25">
      <c r="B30" s="225" t="s">
        <v>741</v>
      </c>
      <c r="C30" s="226" t="s">
        <v>738</v>
      </c>
      <c r="D30" s="226" t="s">
        <v>742</v>
      </c>
      <c r="E30" s="207">
        <f t="shared" si="0"/>
        <v>3.347517730496454E-4</v>
      </c>
      <c r="F30" s="227">
        <v>944000</v>
      </c>
      <c r="G30" s="230"/>
    </row>
    <row r="31" spans="2:15" x14ac:dyDescent="0.25">
      <c r="B31" s="225" t="s">
        <v>743</v>
      </c>
      <c r="C31" s="226" t="s">
        <v>738</v>
      </c>
      <c r="D31" s="226" t="s">
        <v>742</v>
      </c>
      <c r="E31" s="207">
        <f t="shared" si="0"/>
        <v>3.347517730496454E-4</v>
      </c>
      <c r="F31" s="227">
        <v>944000</v>
      </c>
    </row>
    <row r="32" spans="2:15" x14ac:dyDescent="0.25">
      <c r="E32" s="207"/>
      <c r="F32" s="218"/>
    </row>
    <row r="33" spans="2:8" x14ac:dyDescent="0.25">
      <c r="B33" s="215" t="s">
        <v>744</v>
      </c>
      <c r="C33" s="140" t="s">
        <v>745</v>
      </c>
      <c r="D33" s="140" t="s">
        <v>709</v>
      </c>
      <c r="E33" s="207">
        <f t="shared" si="0"/>
        <v>20.312411347517731</v>
      </c>
      <c r="F33" s="218">
        <f>G33*10^6</f>
        <v>57281000000</v>
      </c>
      <c r="G33" s="140">
        <v>57281</v>
      </c>
      <c r="H33" s="140" t="s">
        <v>710</v>
      </c>
    </row>
    <row r="34" spans="2:8" x14ac:dyDescent="0.25">
      <c r="B34" s="215" t="s">
        <v>746</v>
      </c>
      <c r="C34" s="226" t="s">
        <v>745</v>
      </c>
      <c r="D34" s="140" t="s">
        <v>709</v>
      </c>
      <c r="E34" s="207">
        <f t="shared" si="0"/>
        <v>20.781126871552399</v>
      </c>
      <c r="F34" s="218">
        <f>G34*10^6</f>
        <v>58602777777.777763</v>
      </c>
      <c r="G34" s="220">
        <f>G28*AVERAGE(160/240, 160/270)</f>
        <v>58602.777777777766</v>
      </c>
      <c r="H34" s="140" t="s">
        <v>736</v>
      </c>
    </row>
    <row r="35" spans="2:8" x14ac:dyDescent="0.25">
      <c r="B35" s="215" t="s">
        <v>747</v>
      </c>
      <c r="C35" s="226" t="s">
        <v>745</v>
      </c>
      <c r="D35" s="140" t="s">
        <v>709</v>
      </c>
      <c r="E35" s="207">
        <f t="shared" si="0"/>
        <v>7.1631205673758871E-2</v>
      </c>
      <c r="F35" s="218">
        <f t="shared" ref="F35:F40" si="4">G35*10^6</f>
        <v>202000000</v>
      </c>
      <c r="G35" s="220">
        <v>202</v>
      </c>
      <c r="H35" s="140" t="s">
        <v>710</v>
      </c>
    </row>
    <row r="36" spans="2:8" x14ac:dyDescent="0.25">
      <c r="B36" s="215" t="s">
        <v>748</v>
      </c>
      <c r="C36" s="226" t="s">
        <v>745</v>
      </c>
      <c r="D36" s="140" t="s">
        <v>709</v>
      </c>
      <c r="E36" s="207">
        <f t="shared" si="0"/>
        <v>2.3049645390070921E-2</v>
      </c>
      <c r="F36" s="218">
        <f t="shared" si="4"/>
        <v>65000000</v>
      </c>
      <c r="G36" s="220">
        <f>65</f>
        <v>65</v>
      </c>
      <c r="H36" s="140" t="s">
        <v>710</v>
      </c>
    </row>
    <row r="37" spans="2:8" x14ac:dyDescent="0.25">
      <c r="B37" s="215" t="s">
        <v>749</v>
      </c>
      <c r="C37" s="226" t="s">
        <v>745</v>
      </c>
      <c r="D37" s="140" t="s">
        <v>709</v>
      </c>
      <c r="E37" s="207">
        <f t="shared" si="0"/>
        <v>5.3900709219858157E-2</v>
      </c>
      <c r="F37" s="218">
        <f t="shared" si="4"/>
        <v>152000000</v>
      </c>
      <c r="G37" s="220">
        <v>152</v>
      </c>
      <c r="H37" s="140" t="s">
        <v>710</v>
      </c>
    </row>
    <row r="38" spans="2:8" x14ac:dyDescent="0.25">
      <c r="B38" s="215" t="s">
        <v>750</v>
      </c>
      <c r="C38" s="226" t="s">
        <v>745</v>
      </c>
      <c r="D38" s="140" t="s">
        <v>709</v>
      </c>
      <c r="E38" s="207">
        <f t="shared" si="0"/>
        <v>3.5460992907801418E-3</v>
      </c>
      <c r="F38" s="218">
        <f t="shared" si="4"/>
        <v>10000000</v>
      </c>
      <c r="G38" s="220">
        <v>10</v>
      </c>
      <c r="H38" s="140" t="s">
        <v>710</v>
      </c>
    </row>
    <row r="39" spans="2:8" x14ac:dyDescent="0.25">
      <c r="B39" s="215" t="s">
        <v>751</v>
      </c>
      <c r="C39" s="226" t="s">
        <v>745</v>
      </c>
      <c r="D39" s="140" t="s">
        <v>709</v>
      </c>
      <c r="E39" s="207">
        <f t="shared" si="0"/>
        <v>1.4539007092198582E-2</v>
      </c>
      <c r="F39" s="218">
        <f t="shared" si="4"/>
        <v>41000000</v>
      </c>
      <c r="G39" s="220">
        <v>41</v>
      </c>
      <c r="H39" s="140" t="s">
        <v>710</v>
      </c>
    </row>
    <row r="40" spans="2:8" x14ac:dyDescent="0.25">
      <c r="B40" s="215" t="s">
        <v>752</v>
      </c>
      <c r="C40" s="226" t="s">
        <v>745</v>
      </c>
      <c r="D40" s="140" t="s">
        <v>709</v>
      </c>
      <c r="E40" s="207">
        <f t="shared" si="0"/>
        <v>3.9361702127659576E-2</v>
      </c>
      <c r="F40" s="218">
        <f t="shared" si="4"/>
        <v>111000000</v>
      </c>
      <c r="G40" s="220">
        <v>111</v>
      </c>
      <c r="H40" s="140" t="s">
        <v>710</v>
      </c>
    </row>
    <row r="41" spans="2:8" x14ac:dyDescent="0.25">
      <c r="B41" s="231" t="s">
        <v>753</v>
      </c>
      <c r="D41" s="140" t="s">
        <v>709</v>
      </c>
      <c r="E41" s="207">
        <f t="shared" si="0"/>
        <v>1.039468085106383E-2</v>
      </c>
      <c r="F41" s="218">
        <f>G41*10^3</f>
        <v>29313000</v>
      </c>
      <c r="G41" s="220">
        <f>29313</f>
        <v>29313</v>
      </c>
      <c r="H41" s="140" t="s">
        <v>736</v>
      </c>
    </row>
    <row r="42" spans="2:8" x14ac:dyDescent="0.25">
      <c r="E42" s="207"/>
      <c r="F42" s="218"/>
      <c r="G42" s="220"/>
    </row>
    <row r="43" spans="2:8" x14ac:dyDescent="0.25">
      <c r="B43" s="215" t="s">
        <v>754</v>
      </c>
      <c r="D43" s="140" t="s">
        <v>709</v>
      </c>
      <c r="E43" s="207">
        <f t="shared" si="0"/>
        <v>1.4620567375886524</v>
      </c>
      <c r="F43" s="218">
        <f>G43*10^6</f>
        <v>4123000000</v>
      </c>
      <c r="G43" s="220">
        <f>4123</f>
        <v>4123</v>
      </c>
      <c r="H43" s="140" t="s">
        <v>710</v>
      </c>
    </row>
    <row r="44" spans="2:8" x14ac:dyDescent="0.25">
      <c r="B44" s="215" t="s">
        <v>755</v>
      </c>
      <c r="D44" s="140" t="s">
        <v>756</v>
      </c>
      <c r="E44" s="218">
        <f>G44/$F$4</f>
        <v>2.6595744680851063E-9</v>
      </c>
      <c r="F44" s="218"/>
      <c r="G44" s="230">
        <f>7.5</f>
        <v>7.5</v>
      </c>
      <c r="H44" s="140" t="s">
        <v>756</v>
      </c>
    </row>
    <row r="45" spans="2:8" x14ac:dyDescent="0.25">
      <c r="B45" s="215" t="s">
        <v>757</v>
      </c>
      <c r="D45" s="140" t="s">
        <v>709</v>
      </c>
      <c r="E45" s="207">
        <f t="shared" si="0"/>
        <v>14.539007092198581</v>
      </c>
      <c r="F45" s="218">
        <f>G45*10^6</f>
        <v>41000000000</v>
      </c>
      <c r="G45" s="220">
        <f>AVERAGE(41500,40500)</f>
        <v>41000</v>
      </c>
      <c r="H45" s="140" t="s">
        <v>710</v>
      </c>
    </row>
    <row r="46" spans="2:8" x14ac:dyDescent="0.25">
      <c r="B46" s="215" t="s">
        <v>758</v>
      </c>
      <c r="D46" s="140" t="s">
        <v>759</v>
      </c>
      <c r="E46" s="207">
        <f t="shared" si="0"/>
        <v>2.5893565957446811</v>
      </c>
      <c r="F46" s="218">
        <v>7301985600.000001</v>
      </c>
      <c r="G46" s="220">
        <v>7301985.6000000006</v>
      </c>
      <c r="H46" s="140" t="s">
        <v>760</v>
      </c>
    </row>
    <row r="47" spans="2:8" x14ac:dyDescent="0.25">
      <c r="B47" s="215" t="s">
        <v>761</v>
      </c>
      <c r="D47" s="140" t="s">
        <v>180</v>
      </c>
      <c r="E47" s="207">
        <f>F47/$F$4*C51</f>
        <v>0.90044378989361706</v>
      </c>
      <c r="F47" s="218">
        <f t="shared" ref="F47" si="5">G47*10^6</f>
        <v>1790000000</v>
      </c>
      <c r="G47" s="220">
        <f>1790</f>
        <v>1790</v>
      </c>
      <c r="H47" s="140" t="s">
        <v>710</v>
      </c>
    </row>
    <row r="50" spans="2:4" x14ac:dyDescent="0.25">
      <c r="B50" s="215" t="s">
        <v>762</v>
      </c>
      <c r="C50" s="140">
        <v>1</v>
      </c>
      <c r="D50" s="140" t="s">
        <v>709</v>
      </c>
    </row>
    <row r="51" spans="2:4" x14ac:dyDescent="0.25">
      <c r="C51" s="230">
        <f>C50/16*8.314*273/100000*1000</f>
        <v>1.4185762500000001</v>
      </c>
      <c r="D51" s="140" t="s">
        <v>180</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7FEC7-EB4D-4892-A216-10B847B57DE4}">
  <dimension ref="A1:T93"/>
  <sheetViews>
    <sheetView topLeftCell="A49" workbookViewId="0">
      <selection activeCell="Q60" sqref="Q60"/>
    </sheetView>
  </sheetViews>
  <sheetFormatPr defaultRowHeight="12.75" x14ac:dyDescent="0.2"/>
  <cols>
    <col min="1" max="1" width="20.6640625" customWidth="1"/>
    <col min="6" max="6" width="12.1640625" bestFit="1" customWidth="1"/>
  </cols>
  <sheetData>
    <row r="1" spans="1:1" ht="15.75" x14ac:dyDescent="0.2">
      <c r="A1" s="83" t="s">
        <v>184</v>
      </c>
    </row>
    <row r="45" spans="14:19" x14ac:dyDescent="0.2">
      <c r="N45" s="3" t="s">
        <v>775</v>
      </c>
      <c r="O45" s="3" t="s">
        <v>776</v>
      </c>
      <c r="P45" s="3" t="s">
        <v>777</v>
      </c>
      <c r="R45" s="3" t="s">
        <v>780</v>
      </c>
      <c r="S45" s="3" t="s">
        <v>781</v>
      </c>
    </row>
    <row r="46" spans="14:19" x14ac:dyDescent="0.2">
      <c r="N46">
        <v>1</v>
      </c>
      <c r="O46" s="3" t="s">
        <v>782</v>
      </c>
      <c r="P46" s="3" t="s">
        <v>783</v>
      </c>
      <c r="R46">
        <v>6</v>
      </c>
    </row>
    <row r="47" spans="14:19" x14ac:dyDescent="0.2">
      <c r="N47">
        <v>2</v>
      </c>
      <c r="O47" s="3" t="s">
        <v>529</v>
      </c>
      <c r="P47" s="3" t="s">
        <v>778</v>
      </c>
      <c r="R47">
        <v>1</v>
      </c>
    </row>
    <row r="48" spans="14:19" x14ac:dyDescent="0.2">
      <c r="N48" s="3" t="s">
        <v>784</v>
      </c>
      <c r="O48" s="3" t="s">
        <v>785</v>
      </c>
      <c r="P48" s="3" t="s">
        <v>783</v>
      </c>
      <c r="R48">
        <v>8</v>
      </c>
      <c r="S48">
        <f>R48/SUM($R$48:$R$50)</f>
        <v>0.34782608695652173</v>
      </c>
    </row>
    <row r="49" spans="1:20" x14ac:dyDescent="0.2">
      <c r="N49" s="3" t="s">
        <v>786</v>
      </c>
      <c r="O49" s="3" t="s">
        <v>787</v>
      </c>
      <c r="R49">
        <v>9</v>
      </c>
      <c r="S49">
        <f>R49/SUM($R$48:$R$50)</f>
        <v>0.39130434782608697</v>
      </c>
    </row>
    <row r="50" spans="1:20" x14ac:dyDescent="0.2">
      <c r="N50">
        <v>4</v>
      </c>
      <c r="O50" s="3" t="s">
        <v>779</v>
      </c>
      <c r="P50" s="3" t="s">
        <v>778</v>
      </c>
      <c r="R50">
        <v>6</v>
      </c>
      <c r="S50">
        <f>R50/SUM($R$48:$R$50)</f>
        <v>0.2608695652173913</v>
      </c>
    </row>
    <row r="51" spans="1:20" x14ac:dyDescent="0.2">
      <c r="J51" s="3"/>
      <c r="K51" s="3"/>
      <c r="N51" t="s">
        <v>791</v>
      </c>
      <c r="O51" t="s">
        <v>788</v>
      </c>
      <c r="P51" t="s">
        <v>792</v>
      </c>
      <c r="Q51" t="s">
        <v>783</v>
      </c>
      <c r="R51">
        <v>2</v>
      </c>
    </row>
    <row r="52" spans="1:20" x14ac:dyDescent="0.2">
      <c r="J52" s="3"/>
      <c r="K52" s="3"/>
      <c r="N52" t="s">
        <v>793</v>
      </c>
      <c r="O52" t="s">
        <v>788</v>
      </c>
      <c r="P52" t="s">
        <v>794</v>
      </c>
      <c r="Q52" t="s">
        <v>783</v>
      </c>
      <c r="R52">
        <v>22</v>
      </c>
      <c r="T52" t="s">
        <v>795</v>
      </c>
    </row>
    <row r="53" spans="1:20" x14ac:dyDescent="0.2">
      <c r="J53" s="3"/>
      <c r="K53" s="3"/>
      <c r="N53" t="s">
        <v>791</v>
      </c>
      <c r="O53" t="s">
        <v>788</v>
      </c>
      <c r="P53" t="s">
        <v>796</v>
      </c>
      <c r="Q53" t="s">
        <v>783</v>
      </c>
      <c r="R53">
        <v>3</v>
      </c>
      <c r="T53" t="s">
        <v>797</v>
      </c>
    </row>
    <row r="54" spans="1:20" x14ac:dyDescent="0.2">
      <c r="J54" s="3"/>
      <c r="K54" s="3"/>
      <c r="O54" s="3"/>
      <c r="P54" s="3"/>
    </row>
    <row r="55" spans="1:20" x14ac:dyDescent="0.2">
      <c r="J55" s="3"/>
      <c r="K55" s="3"/>
      <c r="O55" s="3"/>
      <c r="P55" s="3"/>
    </row>
    <row r="56" spans="1:20" x14ac:dyDescent="0.2">
      <c r="J56" s="3"/>
      <c r="K56" s="3"/>
      <c r="N56" t="s">
        <v>789</v>
      </c>
      <c r="R56">
        <f>SUM(R46:R53)</f>
        <v>57</v>
      </c>
    </row>
    <row r="57" spans="1:20" x14ac:dyDescent="0.2">
      <c r="J57" s="3"/>
      <c r="K57" s="3"/>
      <c r="N57" t="s">
        <v>798</v>
      </c>
      <c r="R57">
        <f>R56-R47-R50</f>
        <v>50</v>
      </c>
    </row>
    <row r="58" spans="1:20" x14ac:dyDescent="0.2">
      <c r="J58" s="3"/>
      <c r="K58" s="3"/>
      <c r="N58" t="s">
        <v>798</v>
      </c>
      <c r="O58" t="s">
        <v>799</v>
      </c>
      <c r="R58">
        <f>R49+R48</f>
        <v>17</v>
      </c>
    </row>
    <row r="59" spans="1:20" x14ac:dyDescent="0.2">
      <c r="N59" t="s">
        <v>798</v>
      </c>
      <c r="O59" t="s">
        <v>800</v>
      </c>
      <c r="R59">
        <f>SUM(R51:R53)</f>
        <v>27</v>
      </c>
    </row>
    <row r="60" spans="1:20" ht="15.75" x14ac:dyDescent="0.2">
      <c r="A60" s="83" t="s">
        <v>167</v>
      </c>
      <c r="N60" s="3"/>
    </row>
    <row r="61" spans="1:20" x14ac:dyDescent="0.2">
      <c r="A61" s="3" t="s">
        <v>185</v>
      </c>
    </row>
    <row r="62" spans="1:20" x14ac:dyDescent="0.2">
      <c r="A62" t="s">
        <v>179</v>
      </c>
      <c r="C62" t="s">
        <v>171</v>
      </c>
    </row>
    <row r="63" spans="1:20" x14ac:dyDescent="0.2">
      <c r="C63">
        <v>103164727</v>
      </c>
    </row>
    <row r="64" spans="1:20" x14ac:dyDescent="0.2">
      <c r="C64" t="s">
        <v>172</v>
      </c>
    </row>
    <row r="65" spans="3:9" x14ac:dyDescent="0.2">
      <c r="C65" s="3" t="s">
        <v>181</v>
      </c>
      <c r="D65">
        <v>94521</v>
      </c>
      <c r="E65" t="s">
        <v>178</v>
      </c>
      <c r="F65">
        <f>D65*3.6</f>
        <v>340275.60000000003</v>
      </c>
      <c r="G65" s="3" t="s">
        <v>183</v>
      </c>
      <c r="H65">
        <f>F65*0.000001</f>
        <v>0.34027560000000001</v>
      </c>
      <c r="I65" s="3" t="s">
        <v>105</v>
      </c>
    </row>
    <row r="66" spans="3:9" x14ac:dyDescent="0.2">
      <c r="C66" t="s">
        <v>169</v>
      </c>
      <c r="D66">
        <v>2446</v>
      </c>
      <c r="E66" t="s">
        <v>178</v>
      </c>
      <c r="F66">
        <f t="shared" ref="F66:F68" si="0">D66*3.6</f>
        <v>8805.6</v>
      </c>
      <c r="G66" s="3" t="s">
        <v>183</v>
      </c>
      <c r="H66">
        <f t="shared" ref="H66:H68" si="1">F66*0.000001</f>
        <v>8.8056000000000002E-3</v>
      </c>
      <c r="I66" s="3" t="s">
        <v>105</v>
      </c>
    </row>
    <row r="67" spans="3:9" x14ac:dyDescent="0.2">
      <c r="C67" s="3" t="s">
        <v>182</v>
      </c>
      <c r="D67">
        <v>84661823</v>
      </c>
      <c r="E67" t="s">
        <v>178</v>
      </c>
      <c r="F67">
        <f t="shared" si="0"/>
        <v>304782562.80000001</v>
      </c>
      <c r="G67" s="3" t="s">
        <v>183</v>
      </c>
      <c r="H67">
        <f t="shared" si="1"/>
        <v>304.78256279999999</v>
      </c>
      <c r="I67" s="3" t="s">
        <v>105</v>
      </c>
    </row>
    <row r="68" spans="3:9" x14ac:dyDescent="0.2">
      <c r="C68" s="3" t="s">
        <v>609</v>
      </c>
      <c r="D68">
        <v>18405938</v>
      </c>
      <c r="E68" t="s">
        <v>178</v>
      </c>
      <c r="F68">
        <f t="shared" si="0"/>
        <v>66261376.800000004</v>
      </c>
      <c r="G68" s="3" t="s">
        <v>183</v>
      </c>
      <c r="H68">
        <f t="shared" si="1"/>
        <v>66.261376800000008</v>
      </c>
      <c r="I68" s="3" t="s">
        <v>105</v>
      </c>
    </row>
    <row r="72" spans="3:9" x14ac:dyDescent="0.2">
      <c r="C72" t="s">
        <v>173</v>
      </c>
    </row>
    <row r="73" spans="3:9" x14ac:dyDescent="0.2">
      <c r="C73" t="s">
        <v>174</v>
      </c>
      <c r="D73">
        <v>0</v>
      </c>
      <c r="E73" t="s">
        <v>178</v>
      </c>
    </row>
    <row r="74" spans="3:9" x14ac:dyDescent="0.2">
      <c r="C74" t="s">
        <v>175</v>
      </c>
      <c r="D74">
        <v>75393332</v>
      </c>
      <c r="E74" t="s">
        <v>178</v>
      </c>
      <c r="F74">
        <f>D74*3.6</f>
        <v>271415995.19999999</v>
      </c>
      <c r="G74" s="3" t="s">
        <v>183</v>
      </c>
      <c r="H74">
        <f>F74*0.000001</f>
        <v>271.4159952</v>
      </c>
      <c r="I74" s="3" t="s">
        <v>105</v>
      </c>
    </row>
    <row r="75" spans="3:9" x14ac:dyDescent="0.2">
      <c r="C75" t="s">
        <v>176</v>
      </c>
      <c r="D75">
        <v>0</v>
      </c>
      <c r="E75" t="s">
        <v>178</v>
      </c>
    </row>
    <row r="78" spans="3:9" x14ac:dyDescent="0.2">
      <c r="C78" t="s">
        <v>177</v>
      </c>
    </row>
    <row r="89" spans="4:5" x14ac:dyDescent="0.2">
      <c r="D89">
        <v>17271234</v>
      </c>
      <c r="E89" t="s">
        <v>178</v>
      </c>
    </row>
    <row r="90" spans="4:5" x14ac:dyDescent="0.2">
      <c r="D90">
        <v>8002743</v>
      </c>
      <c r="E90" t="s">
        <v>178</v>
      </c>
    </row>
    <row r="91" spans="4:5" x14ac:dyDescent="0.2">
      <c r="D91">
        <v>9268491</v>
      </c>
      <c r="E91" t="s">
        <v>178</v>
      </c>
    </row>
    <row r="92" spans="4:5" x14ac:dyDescent="0.2">
      <c r="D92">
        <v>0</v>
      </c>
      <c r="E92" t="s">
        <v>178</v>
      </c>
    </row>
    <row r="93" spans="4:5" x14ac:dyDescent="0.2">
      <c r="D93">
        <v>0</v>
      </c>
      <c r="E93" t="s">
        <v>178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4A870-3DEE-4E51-B02C-A63589DC40AB}">
  <sheetPr>
    <tabColor rgb="FF00B0F0"/>
  </sheetPr>
  <dimension ref="A1:N38"/>
  <sheetViews>
    <sheetView showGridLines="0" zoomScale="90" zoomScaleNormal="90" workbookViewId="0">
      <pane ySplit="5" topLeftCell="A6" activePane="bottomLeft" state="frozen"/>
      <selection pane="bottomLeft" activeCell="A8" sqref="A8:C8"/>
    </sheetView>
  </sheetViews>
  <sheetFormatPr defaultColWidth="14.6640625" defaultRowHeight="15.75" x14ac:dyDescent="0.25"/>
  <cols>
    <col min="1" max="1" width="46.83203125" style="140" customWidth="1"/>
    <col min="2" max="2" width="12" style="140" bestFit="1" customWidth="1"/>
    <col min="3" max="3" width="10.6640625" style="140" bestFit="1" customWidth="1"/>
    <col min="4" max="4" width="10.33203125" style="140" customWidth="1"/>
    <col min="5" max="5" width="11.33203125" style="140" customWidth="1"/>
    <col min="6" max="16384" width="14.6640625" style="140"/>
  </cols>
  <sheetData>
    <row r="1" spans="1:14" ht="18.75" x14ac:dyDescent="0.3">
      <c r="A1" s="139" t="s">
        <v>572</v>
      </c>
    </row>
    <row r="2" spans="1:14" ht="18.75" x14ac:dyDescent="0.3">
      <c r="A2" s="139"/>
    </row>
    <row r="3" spans="1:14" x14ac:dyDescent="0.25">
      <c r="A3" s="141" t="s">
        <v>573</v>
      </c>
    </row>
    <row r="4" spans="1:14" ht="16.5" thickBot="1" x14ac:dyDescent="0.3"/>
    <row r="5" spans="1:14" ht="30" x14ac:dyDescent="0.25">
      <c r="A5" s="142" t="s">
        <v>574</v>
      </c>
      <c r="B5" s="142" t="s">
        <v>575</v>
      </c>
      <c r="C5" s="142" t="s">
        <v>576</v>
      </c>
      <c r="D5" s="142" t="s">
        <v>577</v>
      </c>
      <c r="E5" s="142" t="s">
        <v>578</v>
      </c>
    </row>
    <row r="6" spans="1:14" x14ac:dyDescent="0.25">
      <c r="A6" s="49" t="s">
        <v>568</v>
      </c>
      <c r="B6" s="136">
        <v>26.7</v>
      </c>
      <c r="C6" s="49" t="s">
        <v>579</v>
      </c>
      <c r="D6" s="143">
        <v>0.54100000000000004</v>
      </c>
      <c r="E6" s="144">
        <f>B6/D6</f>
        <v>49.353049907578551</v>
      </c>
    </row>
    <row r="7" spans="1:14" x14ac:dyDescent="0.25">
      <c r="A7" s="145" t="s">
        <v>580</v>
      </c>
      <c r="B7" s="146">
        <v>37.5</v>
      </c>
      <c r="C7" s="145" t="s">
        <v>579</v>
      </c>
      <c r="D7" s="147">
        <v>0.81299999999999994</v>
      </c>
      <c r="E7" s="148">
        <f>B7/D7</f>
        <v>46.125461254612546</v>
      </c>
    </row>
    <row r="8" spans="1:14" x14ac:dyDescent="0.25">
      <c r="A8" s="49" t="s">
        <v>147</v>
      </c>
      <c r="B8" s="136">
        <v>41</v>
      </c>
      <c r="C8" s="49" t="s">
        <v>148</v>
      </c>
      <c r="D8" s="137"/>
      <c r="E8" s="137"/>
      <c r="H8" s="236" t="s">
        <v>154</v>
      </c>
      <c r="I8" s="237">
        <v>2.8000000000000001E-2</v>
      </c>
    </row>
    <row r="9" spans="1:14" x14ac:dyDescent="0.25">
      <c r="A9" s="149" t="s">
        <v>570</v>
      </c>
      <c r="B9" s="150">
        <v>38.1</v>
      </c>
      <c r="C9" s="149" t="s">
        <v>579</v>
      </c>
      <c r="D9" s="151">
        <v>0.83899999999999997</v>
      </c>
      <c r="E9" s="151">
        <f>B9/D9</f>
        <v>45.411203814064365</v>
      </c>
      <c r="H9" s="236" t="s">
        <v>766</v>
      </c>
      <c r="I9" s="237">
        <f>'FTS-Unallocated'!C51</f>
        <v>1.4185762500000001</v>
      </c>
      <c r="J9"/>
      <c r="K9"/>
      <c r="L9"/>
      <c r="M9"/>
      <c r="N9"/>
    </row>
    <row r="10" spans="1:14" x14ac:dyDescent="0.25">
      <c r="A10" s="152" t="s">
        <v>571</v>
      </c>
      <c r="B10" s="153">
        <v>3.6</v>
      </c>
      <c r="C10" s="152" t="s">
        <v>581</v>
      </c>
      <c r="D10" s="154"/>
      <c r="E10" s="154"/>
      <c r="I10"/>
      <c r="J10"/>
      <c r="K10"/>
      <c r="L10"/>
      <c r="M10"/>
      <c r="N10"/>
    </row>
    <row r="11" spans="1:14" x14ac:dyDescent="0.25">
      <c r="A11" s="149" t="s">
        <v>582</v>
      </c>
      <c r="B11" s="146">
        <v>41</v>
      </c>
      <c r="C11" s="149" t="s">
        <v>148</v>
      </c>
      <c r="D11" s="155"/>
      <c r="E11" s="151"/>
      <c r="I11"/>
      <c r="J11"/>
      <c r="K11"/>
      <c r="L11"/>
      <c r="M11"/>
      <c r="N11"/>
    </row>
    <row r="12" spans="1:14" x14ac:dyDescent="0.25">
      <c r="A12" s="152" t="s">
        <v>583</v>
      </c>
      <c r="B12" s="136">
        <v>41.6</v>
      </c>
      <c r="C12" s="152" t="s">
        <v>579</v>
      </c>
      <c r="D12" s="137">
        <v>0.98399999999999999</v>
      </c>
      <c r="E12" s="154">
        <f t="shared" ref="E12:E16" si="0">B12/D12</f>
        <v>42.276422764227647</v>
      </c>
      <c r="L12"/>
    </row>
    <row r="13" spans="1:14" x14ac:dyDescent="0.25">
      <c r="A13" s="149" t="s">
        <v>584</v>
      </c>
      <c r="B13" s="146">
        <v>34.200000000000003</v>
      </c>
      <c r="C13" s="149" t="s">
        <v>579</v>
      </c>
      <c r="D13" s="155">
        <v>0.72299999999999998</v>
      </c>
      <c r="E13" s="151">
        <f t="shared" si="0"/>
        <v>47.302904564315355</v>
      </c>
      <c r="I13"/>
    </row>
    <row r="14" spans="1:14" x14ac:dyDescent="0.25">
      <c r="A14" s="49" t="s">
        <v>585</v>
      </c>
      <c r="B14" s="136">
        <v>37</v>
      </c>
      <c r="C14" s="49" t="s">
        <v>579</v>
      </c>
      <c r="D14" s="137">
        <v>0.78800000000000003</v>
      </c>
      <c r="E14" s="144">
        <f t="shared" si="0"/>
        <v>46.954314720812178</v>
      </c>
    </row>
    <row r="15" spans="1:14" x14ac:dyDescent="0.25">
      <c r="A15" s="149" t="s">
        <v>586</v>
      </c>
      <c r="B15" s="146">
        <v>33.9</v>
      </c>
      <c r="C15" s="149" t="s">
        <v>579</v>
      </c>
      <c r="D15" s="155">
        <v>0.73</v>
      </c>
      <c r="E15" s="151">
        <f t="shared" si="0"/>
        <v>46.438356164383563</v>
      </c>
    </row>
    <row r="16" spans="1:14" x14ac:dyDescent="0.25">
      <c r="A16" s="152" t="s">
        <v>569</v>
      </c>
      <c r="B16" s="136">
        <v>34.299999999999997</v>
      </c>
      <c r="C16" s="152" t="s">
        <v>579</v>
      </c>
      <c r="D16" s="137">
        <v>0.79300000000000004</v>
      </c>
      <c r="E16" s="154">
        <f t="shared" si="0"/>
        <v>43.253467843631775</v>
      </c>
    </row>
    <row r="17" spans="1:7" x14ac:dyDescent="0.25">
      <c r="A17" s="149" t="s">
        <v>587</v>
      </c>
      <c r="B17" s="146">
        <v>20.100000000000001</v>
      </c>
      <c r="C17" s="149" t="s">
        <v>588</v>
      </c>
      <c r="D17" s="156"/>
      <c r="E17" s="149"/>
    </row>
    <row r="18" spans="1:7" x14ac:dyDescent="0.25">
      <c r="A18" s="49" t="s">
        <v>589</v>
      </c>
      <c r="B18" s="136">
        <v>24.3</v>
      </c>
      <c r="C18" s="49" t="s">
        <v>588</v>
      </c>
      <c r="D18" s="157"/>
      <c r="E18" s="49"/>
    </row>
    <row r="19" spans="1:7" x14ac:dyDescent="0.25">
      <c r="A19" s="145" t="s">
        <v>590</v>
      </c>
      <c r="B19" s="146">
        <v>30.1</v>
      </c>
      <c r="C19" s="145" t="s">
        <v>588</v>
      </c>
      <c r="D19" s="156"/>
      <c r="E19" s="145"/>
    </row>
    <row r="20" spans="1:7" x14ac:dyDescent="0.25">
      <c r="A20" s="49" t="s">
        <v>591</v>
      </c>
      <c r="B20" s="136">
        <v>27.9</v>
      </c>
      <c r="C20" s="49" t="s">
        <v>588</v>
      </c>
      <c r="D20" s="157"/>
      <c r="E20" s="49"/>
    </row>
    <row r="21" spans="1:7" x14ac:dyDescent="0.25">
      <c r="A21" s="145" t="s">
        <v>592</v>
      </c>
      <c r="B21" s="150">
        <v>17.3</v>
      </c>
      <c r="C21" s="145" t="s">
        <v>148</v>
      </c>
      <c r="D21" s="149"/>
      <c r="E21" s="145"/>
    </row>
    <row r="22" spans="1:7" x14ac:dyDescent="0.25">
      <c r="A22" s="49" t="s">
        <v>593</v>
      </c>
      <c r="B22" s="153">
        <v>3.1</v>
      </c>
      <c r="C22" s="49" t="s">
        <v>148</v>
      </c>
      <c r="D22" s="152"/>
      <c r="E22" s="49"/>
    </row>
    <row r="23" spans="1:7" x14ac:dyDescent="0.25">
      <c r="A23" s="149" t="s">
        <v>594</v>
      </c>
      <c r="B23" s="146">
        <v>20</v>
      </c>
      <c r="C23" s="149" t="s">
        <v>148</v>
      </c>
      <c r="D23" s="156"/>
      <c r="E23" s="149"/>
    </row>
    <row r="24" spans="1:7" x14ac:dyDescent="0.25">
      <c r="A24" s="49" t="s">
        <v>595</v>
      </c>
      <c r="B24" s="136">
        <v>7</v>
      </c>
      <c r="C24" s="49" t="s">
        <v>596</v>
      </c>
      <c r="D24" s="157"/>
      <c r="E24" s="49"/>
    </row>
    <row r="25" spans="1:7" x14ac:dyDescent="0.25">
      <c r="A25" s="145" t="s">
        <v>597</v>
      </c>
      <c r="B25" s="146">
        <v>14</v>
      </c>
      <c r="C25" s="145" t="s">
        <v>596</v>
      </c>
      <c r="D25" s="156"/>
      <c r="E25" s="145"/>
    </row>
    <row r="26" spans="1:7" x14ac:dyDescent="0.25">
      <c r="A26" s="49" t="s">
        <v>598</v>
      </c>
      <c r="B26" s="136">
        <v>17</v>
      </c>
      <c r="C26" s="49" t="s">
        <v>596</v>
      </c>
      <c r="D26" s="157"/>
      <c r="E26" s="49"/>
    </row>
    <row r="27" spans="1:7" x14ac:dyDescent="0.25">
      <c r="A27" s="145" t="s">
        <v>599</v>
      </c>
      <c r="B27" s="150">
        <v>18</v>
      </c>
      <c r="C27" s="145" t="s">
        <v>148</v>
      </c>
      <c r="D27" s="149"/>
      <c r="E27" s="145"/>
    </row>
    <row r="28" spans="1:7" x14ac:dyDescent="0.25">
      <c r="A28" s="49" t="s">
        <v>600</v>
      </c>
      <c r="B28" s="153">
        <v>38</v>
      </c>
      <c r="C28" s="49" t="s">
        <v>601</v>
      </c>
      <c r="D28" s="152"/>
      <c r="E28" s="49"/>
    </row>
    <row r="29" spans="1:7" x14ac:dyDescent="0.25">
      <c r="A29" s="145" t="s">
        <v>602</v>
      </c>
      <c r="B29" s="150">
        <v>31</v>
      </c>
      <c r="C29" s="145" t="s">
        <v>596</v>
      </c>
      <c r="D29" s="149"/>
      <c r="E29" s="145"/>
      <c r="G29" s="158"/>
    </row>
    <row r="30" spans="1:7" x14ac:dyDescent="0.25">
      <c r="A30" s="49" t="s">
        <v>603</v>
      </c>
      <c r="B30" s="153">
        <v>41.868000000000002</v>
      </c>
      <c r="C30" s="49" t="s">
        <v>596</v>
      </c>
      <c r="D30" s="152"/>
      <c r="E30" s="49"/>
    </row>
    <row r="32" spans="1:7" ht="41.25" customHeight="1" x14ac:dyDescent="0.25">
      <c r="A32" s="286" t="s">
        <v>604</v>
      </c>
      <c r="B32" s="286"/>
      <c r="C32" s="286"/>
      <c r="D32" s="286"/>
      <c r="E32" s="286"/>
    </row>
    <row r="33" spans="1:5" x14ac:dyDescent="0.25">
      <c r="A33" s="287" t="s">
        <v>605</v>
      </c>
      <c r="B33" s="287"/>
      <c r="C33" s="287"/>
      <c r="D33" s="287"/>
      <c r="E33" s="287"/>
    </row>
    <row r="35" spans="1:5" x14ac:dyDescent="0.25">
      <c r="A35" s="140" t="s">
        <v>606</v>
      </c>
      <c r="B35" s="140">
        <v>0.90718474000000004</v>
      </c>
      <c r="C35" s="140" t="s">
        <v>607</v>
      </c>
    </row>
    <row r="36" spans="1:5" x14ac:dyDescent="0.25">
      <c r="A36" s="287" t="s">
        <v>608</v>
      </c>
      <c r="B36" s="287"/>
      <c r="C36" s="287"/>
      <c r="D36" s="287"/>
      <c r="E36" s="287"/>
    </row>
    <row r="38" spans="1:5" x14ac:dyDescent="0.25">
      <c r="A38" s="140">
        <f>44*CV_Coal</f>
        <v>1069.2</v>
      </c>
    </row>
  </sheetData>
  <mergeCells count="3">
    <mergeCell ref="A32:E32"/>
    <mergeCell ref="A33:E33"/>
    <mergeCell ref="A36:E36"/>
  </mergeCells>
  <pageMargins left="0.75" right="0.75" top="1" bottom="1" header="0.5" footer="0.5"/>
  <pageSetup paperSize="9"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29</vt:i4>
      </vt:variant>
    </vt:vector>
  </HeadingPairs>
  <TitlesOfParts>
    <vt:vector size="37" baseType="lpstr">
      <vt:lpstr>SASOL NIR 2017</vt:lpstr>
      <vt:lpstr>SASOL Commodities</vt:lpstr>
      <vt:lpstr>NERSA2017</vt:lpstr>
      <vt:lpstr>GAS 2000-2029 CY</vt:lpstr>
      <vt:lpstr>SASOL CC 2019 report</vt:lpstr>
      <vt:lpstr>FTS-Unallocated</vt:lpstr>
      <vt:lpstr>Secunda Emissions 2019 etc</vt:lpstr>
      <vt:lpstr>Calorific values</vt:lpstr>
      <vt:lpstr>CV_AvGas</vt:lpstr>
      <vt:lpstr>CV_Bagasse</vt:lpstr>
      <vt:lpstr>CV_BagasseDry</vt:lpstr>
      <vt:lpstr>CV_BagasseWet</vt:lpstr>
      <vt:lpstr>CV_Biomass</vt:lpstr>
      <vt:lpstr>CV_BlastFurnaceGas</vt:lpstr>
      <vt:lpstr>CV_Coal</vt:lpstr>
      <vt:lpstr>CV_CoalCokg</vt:lpstr>
      <vt:lpstr>CV_CoalCoking</vt:lpstr>
      <vt:lpstr>CV_CoalEskAve</vt:lpstr>
      <vt:lpstr>CV_CoalGenrl</vt:lpstr>
      <vt:lpstr>CV_Coke</vt:lpstr>
      <vt:lpstr>CV_CokeOvenGas</vt:lpstr>
      <vt:lpstr>CV_Diesel</vt:lpstr>
      <vt:lpstr>CV_Elec</vt:lpstr>
      <vt:lpstr>CV_GasSASOL</vt:lpstr>
      <vt:lpstr>CV_GasSASOLMeth</vt:lpstr>
      <vt:lpstr>CV_HFO</vt:lpstr>
      <vt:lpstr>CV_JetFuel</vt:lpstr>
      <vt:lpstr>CV_LPG</vt:lpstr>
      <vt:lpstr>CV_NatGas</vt:lpstr>
      <vt:lpstr>CV_ParafIll</vt:lpstr>
      <vt:lpstr>CV_ParaIll</vt:lpstr>
      <vt:lpstr>CV_ParaPower</vt:lpstr>
      <vt:lpstr>CV_Petr</vt:lpstr>
      <vt:lpstr>gwpch4</vt:lpstr>
      <vt:lpstr>gwpn2o</vt:lpstr>
      <vt:lpstr>LPG_cv</vt:lpstr>
      <vt:lpstr>'Calorific values'!Print_Area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Annual Emission Report for SSO_FY18</dc:title>
  <dc:creator>GROENWIL</dc:creator>
  <cp:lastModifiedBy>Fadiel</cp:lastModifiedBy>
  <dcterms:created xsi:type="dcterms:W3CDTF">2020-05-12T15:49:02Z</dcterms:created>
  <dcterms:modified xsi:type="dcterms:W3CDTF">2020-07-21T11:04:03Z</dcterms:modified>
</cp:coreProperties>
</file>