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WIP\"/>
    </mc:Choice>
  </mc:AlternateContent>
  <xr:revisionPtr revIDLastSave="0" documentId="13_ncr:1_{8F0B3857-C74E-48EF-B2E1-530AF804B529}" xr6:coauthVersionLast="47" xr6:coauthVersionMax="47" xr10:uidLastSave="{00000000-0000-0000-0000-000000000000}"/>
  <bookViews>
    <workbookView xWindow="-120" yWindow="-120" windowWidth="29040" windowHeight="15840" xr2:uid="{4A579056-8B3B-4F7E-9128-BEC3BE4AA9F4}"/>
    <workbookView xWindow="4785" yWindow="-17295" windowWidth="25230" windowHeight="14940" xr2:uid="{7FA7C086-B3A0-4320-B959-D62DF03F1DC6}"/>
  </bookViews>
  <sheets>
    <sheet name="ProcessHeat" sheetId="1" r:id="rId1"/>
    <sheet name="CoalBalance" sheetId="2" r:id="rId2"/>
  </sheets>
  <definedNames>
    <definedName name="_xlnm._FilterDatabase" localSheetId="0" hidden="1">ProcessHeat!$Q$81:$W$143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2" l="1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E9" i="2" s="1"/>
  <c r="J9" i="2" s="1"/>
  <c r="C78" i="2"/>
  <c r="C73" i="2"/>
  <c r="C72" i="2"/>
  <c r="C71" i="2"/>
  <c r="C70" i="2"/>
  <c r="E11" i="2" s="1"/>
  <c r="H11" i="2" s="1"/>
  <c r="Q27" i="2"/>
  <c r="N27" i="2"/>
  <c r="M27" i="2"/>
  <c r="F26" i="2"/>
  <c r="R26" i="2" s="1"/>
  <c r="R25" i="2"/>
  <c r="L25" i="2"/>
  <c r="I25" i="2"/>
  <c r="R24" i="2"/>
  <c r="Q23" i="2"/>
  <c r="F23" i="2" s="1"/>
  <c r="L23" i="2"/>
  <c r="E23" i="2"/>
  <c r="R22" i="2"/>
  <c r="R21" i="2"/>
  <c r="L21" i="2"/>
  <c r="L27" i="2" s="1"/>
  <c r="L20" i="2"/>
  <c r="I20" i="2"/>
  <c r="E20" i="2"/>
  <c r="J20" i="2" s="1"/>
  <c r="K20" i="2" s="1"/>
  <c r="R20" i="2" s="1"/>
  <c r="L19" i="2"/>
  <c r="I19" i="2"/>
  <c r="O18" i="2"/>
  <c r="L18" i="2"/>
  <c r="I18" i="2"/>
  <c r="O17" i="2"/>
  <c r="L17" i="2"/>
  <c r="I17" i="2"/>
  <c r="E17" i="2"/>
  <c r="J17" i="2" s="1"/>
  <c r="K17" i="2" s="1"/>
  <c r="R17" i="2" s="1"/>
  <c r="L16" i="2"/>
  <c r="I16" i="2"/>
  <c r="L15" i="2"/>
  <c r="I15" i="2"/>
  <c r="O14" i="2"/>
  <c r="L14" i="2"/>
  <c r="I14" i="2"/>
  <c r="E14" i="2"/>
  <c r="H14" i="2" s="1"/>
  <c r="L13" i="2"/>
  <c r="I13" i="2"/>
  <c r="O12" i="2"/>
  <c r="L12" i="2"/>
  <c r="I12" i="2"/>
  <c r="E12" i="2"/>
  <c r="J12" i="2" s="1"/>
  <c r="K12" i="2" s="1"/>
  <c r="R12" i="2" s="1"/>
  <c r="L11" i="2"/>
  <c r="I11" i="2"/>
  <c r="R10" i="2"/>
  <c r="O9" i="2"/>
  <c r="L9" i="2"/>
  <c r="L7" i="2" s="1"/>
  <c r="I9" i="2"/>
  <c r="I7" i="2" s="1"/>
  <c r="E8" i="2"/>
  <c r="Q7" i="2"/>
  <c r="N7" i="2"/>
  <c r="M7" i="2"/>
  <c r="G7" i="2"/>
  <c r="F7" i="2"/>
  <c r="R17" i="1"/>
  <c r="E15" i="2" l="1"/>
  <c r="H15" i="2" s="1"/>
  <c r="E18" i="2"/>
  <c r="H18" i="2" s="1"/>
  <c r="E16" i="2"/>
  <c r="H16" i="2" s="1"/>
  <c r="E19" i="2"/>
  <c r="H19" i="2" s="1"/>
  <c r="J15" i="2"/>
  <c r="K15" i="2" s="1"/>
  <c r="R15" i="2" s="1"/>
  <c r="E13" i="2"/>
  <c r="J13" i="2" s="1"/>
  <c r="K13" i="2" s="1"/>
  <c r="R13" i="2" s="1"/>
  <c r="J16" i="2"/>
  <c r="K16" i="2" s="1"/>
  <c r="R16" i="2" s="1"/>
  <c r="E25" i="2"/>
  <c r="H25" i="2" s="1"/>
  <c r="H20" i="2"/>
  <c r="J14" i="2"/>
  <c r="K14" i="2" s="1"/>
  <c r="R14" i="2" s="1"/>
  <c r="J11" i="2"/>
  <c r="K11" i="2" s="1"/>
  <c r="R11" i="2" s="1"/>
  <c r="R23" i="2"/>
  <c r="I23" i="2"/>
  <c r="J23" i="2" s="1"/>
  <c r="K9" i="2"/>
  <c r="H9" i="2"/>
  <c r="H23" i="2"/>
  <c r="H12" i="2"/>
  <c r="H17" i="2"/>
  <c r="E27" i="2" l="1"/>
  <c r="J18" i="2"/>
  <c r="E7" i="2"/>
  <c r="H13" i="2"/>
  <c r="H7" i="2" s="1"/>
  <c r="J19" i="2"/>
  <c r="K19" i="2" s="1"/>
  <c r="R19" i="2" s="1"/>
  <c r="J25" i="2"/>
  <c r="R9" i="2"/>
  <c r="J27" i="2" l="1"/>
  <c r="H27" i="2"/>
  <c r="K18" i="2"/>
  <c r="J7" i="2"/>
  <c r="R18" i="2" l="1"/>
  <c r="K7" i="2"/>
  <c r="K27" i="2"/>
  <c r="R27" i="2" l="1"/>
  <c r="R7" i="2"/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H34" i="1"/>
  <c r="H33" i="1"/>
  <c r="H32" i="1"/>
  <c r="H31" i="1"/>
  <c r="H30" i="1"/>
  <c r="D42" i="1"/>
  <c r="F10" i="1" l="1"/>
  <c r="G10" i="1"/>
  <c r="H10" i="1"/>
  <c r="I10" i="1"/>
  <c r="J10" i="1"/>
  <c r="G13" i="1"/>
  <c r="G22" i="1" s="1"/>
  <c r="H13" i="1"/>
  <c r="H22" i="1" s="1"/>
  <c r="I13" i="1"/>
  <c r="I22" i="1" s="1"/>
  <c r="J13" i="1"/>
  <c r="J22" i="1" s="1"/>
  <c r="F13" i="1"/>
  <c r="F22" i="1" s="1"/>
  <c r="L7" i="1"/>
  <c r="E15" i="1"/>
  <c r="G15" i="1" s="1"/>
  <c r="G24" i="1" s="1"/>
  <c r="E16" i="1"/>
  <c r="E25" i="1" s="1"/>
  <c r="E17" i="1"/>
  <c r="I17" i="1" s="1"/>
  <c r="I26" i="1" s="1"/>
  <c r="E18" i="1"/>
  <c r="E19" i="1"/>
  <c r="E14" i="1"/>
  <c r="H14" i="1" l="1"/>
  <c r="H23" i="1" s="1"/>
  <c r="J14" i="1"/>
  <c r="J23" i="1" s="1"/>
  <c r="I18" i="1"/>
  <c r="I27" i="1" s="1"/>
  <c r="H18" i="1"/>
  <c r="H27" i="1" s="1"/>
  <c r="J17" i="1"/>
  <c r="J26" i="1" s="1"/>
  <c r="G14" i="1"/>
  <c r="G23" i="1" s="1"/>
  <c r="E23" i="1"/>
  <c r="H17" i="1"/>
  <c r="H26" i="1" s="1"/>
  <c r="E26" i="1"/>
  <c r="E27" i="1"/>
  <c r="J18" i="1"/>
  <c r="J27" i="1" s="1"/>
  <c r="G17" i="1"/>
  <c r="G26" i="1" s="1"/>
  <c r="I15" i="1"/>
  <c r="I24" i="1" s="1"/>
  <c r="J16" i="1"/>
  <c r="J25" i="1" s="1"/>
  <c r="F18" i="1"/>
  <c r="F27" i="1" s="1"/>
  <c r="I16" i="1"/>
  <c r="I25" i="1" s="1"/>
  <c r="F17" i="1"/>
  <c r="F26" i="1" s="1"/>
  <c r="H16" i="1"/>
  <c r="H25" i="1" s="1"/>
  <c r="F16" i="1"/>
  <c r="F25" i="1" s="1"/>
  <c r="G16" i="1"/>
  <c r="G25" i="1" s="1"/>
  <c r="F15" i="1"/>
  <c r="F24" i="1" s="1"/>
  <c r="J15" i="1"/>
  <c r="J24" i="1" s="1"/>
  <c r="E24" i="1"/>
  <c r="H15" i="1"/>
  <c r="H24" i="1" s="1"/>
  <c r="G18" i="1"/>
  <c r="G27" i="1" s="1"/>
  <c r="I14" i="1"/>
  <c r="F14" i="1"/>
  <c r="H19" i="1" l="1"/>
  <c r="F23" i="1"/>
  <c r="F19" i="1"/>
  <c r="G19" i="1"/>
  <c r="I23" i="1"/>
  <c r="I19" i="1"/>
  <c r="J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tc={858DA16C-3ADB-4F68-90DA-5A2967C70D0C}</author>
    <author>tc={120523CA-DAB0-4AF3-AD06-88C2982E49D5}</author>
    <author>tc={76AE6714-B14F-4E52-8CF8-621A85EBFB2D}</author>
    <author>tc={4524F4B7-A607-46A8-AD57-6D5DDEDA7B98}</author>
    <author>tc={8E4A6CF8-3676-4A55-B9F0-E0BF79F54B3A}</author>
  </authors>
  <commentList>
    <comment ref="E11" authorId="0" shapeId="0" xr:uid="{858DA16C-3ADB-4F68-90DA-5A2967C70D0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would include PGM</t>
      </text>
    </comment>
    <comment ref="O12" authorId="1" shapeId="0" xr:uid="{120523CA-DAB0-4AF3-AD06-88C2982E49D5}">
      <text>
        <t>[Threaded comment]
Your version of Excel allows you to read this threaded comment; however, any edits to it will get removed if the file is opened in a newer version of Excel. Learn more: https://go.microsoft.com/fwlink/?linkid=870924
Comment:
    O3BC study 2009 has 16.3</t>
      </text>
    </comment>
    <comment ref="Q21" authorId="2" shapeId="0" xr:uid="{76AE6714-B14F-4E52-8CF8-621A85EBFB2D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something weird here - drops to 15 in 2021</t>
      </text>
    </comment>
    <comment ref="L23" authorId="3" shapeId="0" xr:uid="{4524F4B7-A607-46A8-AD57-6D5DDEDA7B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function of CV - Eskom had 19.87 but coal data for 2019 seems to indicate lower values</t>
      </text>
    </comment>
    <comment ref="P23" authorId="4" shapeId="0" xr:uid="{8E4A6CF8-3676-4A55-B9F0-E0BF79F54B3A}">
      <text>
        <t>[Threaded comment]
Your version of Excel allows you to read this threaded comment; however, any edits to it will get removed if the file is opened in a newer version of Excel. Learn more: https://go.microsoft.com/fwlink/?linkid=870924
Comment:
    Eskom</t>
      </text>
    </comment>
  </commentList>
</comments>
</file>

<file path=xl/sharedStrings.xml><?xml version="1.0" encoding="utf-8"?>
<sst xmlns="http://schemas.openxmlformats.org/spreadsheetml/2006/main" count="352" uniqueCount="223">
  <si>
    <t>Chemicals33</t>
  </si>
  <si>
    <t>Food_Bev_Tob30</t>
  </si>
  <si>
    <t>IndOther</t>
  </si>
  <si>
    <t>Mining2</t>
  </si>
  <si>
    <t>PNFMetals352</t>
  </si>
  <si>
    <t>Coal</t>
  </si>
  <si>
    <t>Electricity</t>
  </si>
  <si>
    <t>Gas</t>
  </si>
  <si>
    <t>HFO</t>
  </si>
  <si>
    <t>LPG</t>
  </si>
  <si>
    <t>Total</t>
  </si>
  <si>
    <t>Flow In (PJ)</t>
  </si>
  <si>
    <t>Flow Out (Useful Energy)</t>
  </si>
  <si>
    <t>ICPSCLE-E</t>
  </si>
  <si>
    <t>ICPSELC-E</t>
  </si>
  <si>
    <t>ICPSGAS-E</t>
  </si>
  <si>
    <t>ICPSOHF-E</t>
  </si>
  <si>
    <t>IFBSCOA-E</t>
  </si>
  <si>
    <t>IFBSELC-E</t>
  </si>
  <si>
    <t>IFBSGAS-E</t>
  </si>
  <si>
    <t>IMISCOA-E</t>
  </si>
  <si>
    <t>IMISOLP-E</t>
  </si>
  <si>
    <t>INFSCOA-E</t>
  </si>
  <si>
    <t>INFSGAS-E</t>
  </si>
  <si>
    <t>IOTSCOA-E</t>
  </si>
  <si>
    <t>IOTSELC-E</t>
  </si>
  <si>
    <t>IOTSGAS-E</t>
  </si>
  <si>
    <t>Efficiency</t>
  </si>
  <si>
    <t>Industry Other Includes:</t>
  </si>
  <si>
    <t>Industry Other Excludes:</t>
  </si>
  <si>
    <t>Iron and Steel</t>
  </si>
  <si>
    <t>FerroAlloys</t>
  </si>
  <si>
    <t>Agriculture</t>
  </si>
  <si>
    <t>Food&amp;Tob</t>
  </si>
  <si>
    <t>Textile&amp;leather</t>
  </si>
  <si>
    <t>Wood and Wood Products</t>
  </si>
  <si>
    <t>Paper Pulp and Print</t>
  </si>
  <si>
    <t>Refinery</t>
  </si>
  <si>
    <t>Chemical and Petrochemical</t>
  </si>
  <si>
    <t>Non-Metallic Minerals</t>
  </si>
  <si>
    <t>Non-Ferrous Metals</t>
  </si>
  <si>
    <t>Machinery</t>
  </si>
  <si>
    <t>Other Ind</t>
  </si>
  <si>
    <t>Transport equip</t>
  </si>
  <si>
    <t>Power</t>
  </si>
  <si>
    <t>Construction</t>
  </si>
  <si>
    <t>Comm&amp;gov</t>
  </si>
  <si>
    <t>Transport</t>
  </si>
  <si>
    <t>Forestry</t>
  </si>
  <si>
    <t>Fishing</t>
  </si>
  <si>
    <t>Mining of coal and lignite</t>
  </si>
  <si>
    <t>Mining of gold and uranium ore</t>
  </si>
  <si>
    <t>Mining of metal ores</t>
  </si>
  <si>
    <t>Other mining and quarrying</t>
  </si>
  <si>
    <t>Food</t>
  </si>
  <si>
    <t>Beverages and tobacco</t>
  </si>
  <si>
    <t>Spinning, weaving and finishing of textiles</t>
  </si>
  <si>
    <t>Knitted, crouched fabrics, wearing apparel, fur articles</t>
  </si>
  <si>
    <t>Tanning and dressing of leather</t>
  </si>
  <si>
    <t>Footwear</t>
  </si>
  <si>
    <t>Sawmilling, planing of wood, cork, straw</t>
  </si>
  <si>
    <t>Paper</t>
  </si>
  <si>
    <t>Publishing, printing, recorded media</t>
  </si>
  <si>
    <t>Coke oven, petroleum refineries</t>
  </si>
  <si>
    <t>Nuclear fuel, basic chemicals</t>
  </si>
  <si>
    <t>Other chemical products, man-made fibres</t>
  </si>
  <si>
    <t>Rubber</t>
  </si>
  <si>
    <t>Plastic</t>
  </si>
  <si>
    <t>Glass</t>
  </si>
  <si>
    <t>Non-metallic minerals</t>
  </si>
  <si>
    <t>Basic iron and steel, casting of metals</t>
  </si>
  <si>
    <t>Basic precious and non-ferrous metals</t>
  </si>
  <si>
    <t>Fabricated metal products</t>
  </si>
  <si>
    <t>Machinery and equipment</t>
  </si>
  <si>
    <t>Electrical machinery and apparatus</t>
  </si>
  <si>
    <t>Radio, television, communication equipment and apparatus</t>
  </si>
  <si>
    <t>Medical, precision, optical instruments, watches and clocks</t>
  </si>
  <si>
    <t>Motor vehicles, trailers, parts</t>
  </si>
  <si>
    <t>Other transport equipment</t>
  </si>
  <si>
    <t>Furniture</t>
  </si>
  <si>
    <t>Manufacturing n.e.c, recycling</t>
  </si>
  <si>
    <t>Electricity, gas, steam and hot water supply</t>
  </si>
  <si>
    <t>Collection, purification and distribution of water</t>
  </si>
  <si>
    <t>Wholesale trade, commission trade</t>
  </si>
  <si>
    <t>Retail trade</t>
  </si>
  <si>
    <t>Sale, maintenance, repair of motor vehicles</t>
  </si>
  <si>
    <t>Hotels and restaurants</t>
  </si>
  <si>
    <t>Land transport, transport via pipe lines</t>
  </si>
  <si>
    <t>Water transport</t>
  </si>
  <si>
    <t>Air transport</t>
  </si>
  <si>
    <t>Auxiliary transport</t>
  </si>
  <si>
    <t>Post and telecommunication</t>
  </si>
  <si>
    <t>Financial intermediation</t>
  </si>
  <si>
    <t>Insurance and pension funding</t>
  </si>
  <si>
    <t>Activities to financial intermediation</t>
  </si>
  <si>
    <t>Real estate activities</t>
  </si>
  <si>
    <t>Renting of machinery and equipment</t>
  </si>
  <si>
    <t>Computer and related activities</t>
  </si>
  <si>
    <t>Research and experimental development</t>
  </si>
  <si>
    <t>Other business activities</t>
  </si>
  <si>
    <t>Government</t>
  </si>
  <si>
    <t>Education</t>
  </si>
  <si>
    <t>Health and social work</t>
  </si>
  <si>
    <t>Sewerage and refuse disposal</t>
  </si>
  <si>
    <t>Activities of membership organisations</t>
  </si>
  <si>
    <t>Recreational, cultural and sporting activities</t>
  </si>
  <si>
    <t>Other activities</t>
  </si>
  <si>
    <t>Non-observed, informal, non-profit, households,</t>
  </si>
  <si>
    <t>Total industry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</si>
  <si>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</si>
  <si>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</si>
  <si>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</si>
  <si>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</si>
  <si>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</si>
  <si>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</si>
  <si>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</si>
  <si>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</si>
  <si>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</si>
  <si>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</si>
  <si>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</si>
  <si>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</si>
  <si>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</si>
  <si>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</si>
  <si>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</si>
  <si>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</si>
  <si>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</si>
  <si>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</si>
  <si>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</si>
  <si>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</si>
  <si>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</si>
  <si>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</si>
  <si>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</si>
  <si>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</si>
  <si>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</si>
  <si>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</si>
  <si>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</si>
  <si>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</si>
  <si>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</si>
  <si>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</si>
  <si>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</si>
  <si>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</si>
  <si>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</si>
  <si>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</si>
  <si>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</si>
  <si>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</si>
  <si>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</si>
  <si>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</si>
  <si>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</si>
  <si>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</si>
  <si>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</si>
  <si>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</si>
  <si>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</si>
  <si>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</si>
  <si>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</si>
  <si>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</si>
  <si>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</si>
  <si>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</si>
  <si>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</si>
  <si>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</si>
  <si>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</si>
  <si>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</si>
  <si>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</si>
  <si>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</si>
  <si>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</si>
  <si>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</si>
  <si>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</si>
  <si>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</si>
  <si>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</si>
  <si>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</si>
  <si>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</si>
  <si>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</si>
  <si>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TI</t>
  </si>
  <si>
    <t>SATIM Sectors</t>
  </si>
  <si>
    <t>Aluminium35220</t>
  </si>
  <si>
    <t>Iron_Steel351</t>
  </si>
  <si>
    <t>NMMProducts34</t>
  </si>
  <si>
    <t>Pulp_Paper323</t>
  </si>
  <si>
    <t>SATIM Industry Sectors</t>
  </si>
  <si>
    <t>From SUT 2017: Money spent on Coal in 2017mR</t>
  </si>
  <si>
    <t>&lt;100</t>
  </si>
  <si>
    <t>100-400</t>
  </si>
  <si>
    <t>&gt;400</t>
  </si>
  <si>
    <t>Mining and quarrying</t>
  </si>
  <si>
    <t>Food and tobacco</t>
  </si>
  <si>
    <t>Paper, pulp and print</t>
  </si>
  <si>
    <t>Basic chemical and petrochemical</t>
  </si>
  <si>
    <t>Other chemcial industry</t>
  </si>
  <si>
    <t>Plastic and rubber production</t>
  </si>
  <si>
    <t>Glass and ceramic</t>
  </si>
  <si>
    <t>Cement and lime production</t>
  </si>
  <si>
    <t>Iron and steel production</t>
  </si>
  <si>
    <t>Non-ferrous metals, casting</t>
  </si>
  <si>
    <t>Metal processing</t>
  </si>
  <si>
    <t>Vehicle construction</t>
  </si>
  <si>
    <t>Other mechanical engineering</t>
  </si>
  <si>
    <t>Other</t>
  </si>
  <si>
    <t>From AGWF</t>
  </si>
  <si>
    <t>Process</t>
  </si>
  <si>
    <t>Includes: see table below</t>
  </si>
  <si>
    <t>EB Sectors</t>
  </si>
  <si>
    <t>Temperature</t>
  </si>
  <si>
    <t>mR</t>
  </si>
  <si>
    <t>R/GJ</t>
  </si>
  <si>
    <t>Price</t>
  </si>
  <si>
    <t>PJ</t>
  </si>
  <si>
    <t>R/ton</t>
  </si>
  <si>
    <t>mton</t>
  </si>
  <si>
    <t>CTL</t>
  </si>
  <si>
    <t>ESRG Estimates</t>
  </si>
  <si>
    <t>Total Final</t>
  </si>
  <si>
    <t>Residential</t>
  </si>
  <si>
    <t>Model</t>
  </si>
  <si>
    <t>Sasol SSF</t>
  </si>
  <si>
    <t>SasolChemicals</t>
  </si>
  <si>
    <t>SUT</t>
  </si>
  <si>
    <t>Eskom</t>
  </si>
  <si>
    <t>Kelvin</t>
  </si>
  <si>
    <t>XMP 2017 v1</t>
  </si>
  <si>
    <t>XMP 2017 v2</t>
  </si>
  <si>
    <t>CV</t>
  </si>
  <si>
    <t>MJ/kg</t>
  </si>
  <si>
    <t>CSIR solar study</t>
  </si>
  <si>
    <t>SATIM Coal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</si>
</sst>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%"/>
    <numFmt numFmtId="169" formatCode="0.0"/>
    <numFmt numFmtId="170" formatCode="0.000"/>
    <numFmt numFmtId="172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1" xfId="0" applyFont="1" applyBorder="1"/>
    <xf numFmtId="9" fontId="0" fillId="0" borderId="1" xfId="1" applyFont="1" applyBorder="1"/>
    <xf numFmtId="0" fontId="5" fillId="0" borderId="1" xfId="3" applyNumberFormat="1" applyFont="1" applyBorder="1" applyAlignment="1"/>
    <xf numFmtId="0" fontId="5" fillId="0" borderId="1" xfId="3" applyNumberFormat="1" applyFont="1" applyBorder="1" applyAlignment="1">
      <alignment horizontal="left"/>
    </xf>
    <xf numFmtId="0" fontId="5" fillId="0" borderId="1" xfId="3" applyNumberFormat="1" applyFont="1" applyBorder="1" applyAlignment="1">
      <alignment vertical="top"/>
    </xf>
    <xf numFmtId="168" fontId="4" fillId="0" borderId="1" xfId="3" applyNumberFormat="1" applyBorder="1" applyAlignment="1">
      <alignment horizontal="right"/>
    </xf>
    <xf numFmtId="0" fontId="5" fillId="0" borderId="1" xfId="3" applyNumberFormat="1" applyFont="1" applyFill="1" applyBorder="1" applyAlignment="1">
      <alignment vertical="top"/>
    </xf>
    <xf numFmtId="168" fontId="4" fillId="0" borderId="1" xfId="3" applyNumberFormat="1" applyFont="1" applyFill="1" applyBorder="1" applyAlignment="1">
      <alignment horizontal="right"/>
    </xf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" fontId="0" fillId="0" borderId="0" xfId="0" applyNumberFormat="1"/>
    <xf numFmtId="169" fontId="3" fillId="0" borderId="0" xfId="0" applyNumberFormat="1" applyFont="1"/>
    <xf numFmtId="172" fontId="0" fillId="0" borderId="0" xfId="0" applyNumberFormat="1"/>
    <xf numFmtId="170" fontId="2" fillId="2" borderId="0" xfId="2" applyNumberFormat="1"/>
    <xf numFmtId="2" fontId="3" fillId="0" borderId="0" xfId="0" applyNumberFormat="1" applyFont="1"/>
    <xf numFmtId="0" fontId="2" fillId="2" borderId="0" xfId="2"/>
    <xf numFmtId="0" fontId="2" fillId="2" borderId="1" xfId="2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4">
    <cellStyle name="Bad" xfId="2" builtinId="27"/>
    <cellStyle name="Normal" xfId="0" builtinId="0"/>
    <cellStyle name="Normal 2" xfId="3" xr:uid="{1CF99B29-34B6-4D9D-848D-465648749B3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38</xdr:row>
      <xdr:rowOff>47625</xdr:rowOff>
    </xdr:from>
    <xdr:to>
      <xdr:col>18</xdr:col>
      <xdr:colOff>95250</xdr:colOff>
      <xdr:row>60</xdr:row>
      <xdr:rowOff>181615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8CC240-7700-46EE-B742-4E83A82CA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11858625"/>
          <a:ext cx="6143625" cy="432499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38</xdr:row>
      <xdr:rowOff>1</xdr:rowOff>
    </xdr:from>
    <xdr:to>
      <xdr:col>31</xdr:col>
      <xdr:colOff>504825</xdr:colOff>
      <xdr:row>59</xdr:row>
      <xdr:rowOff>186157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E81118-3F8C-41DA-B397-ED13286A6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0750" y="11811001"/>
          <a:ext cx="8239125" cy="418665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29</xdr:col>
      <xdr:colOff>94424</xdr:colOff>
      <xdr:row>63</xdr:row>
      <xdr:rowOff>171357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261AC1-A393-4A4F-8927-9B245619D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20750" y="16002000"/>
          <a:ext cx="6609524" cy="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55</xdr:row>
      <xdr:rowOff>161925</xdr:rowOff>
    </xdr:from>
    <xdr:to>
      <xdr:col>8</xdr:col>
      <xdr:colOff>523044</xdr:colOff>
      <xdr:row>58</xdr:row>
      <xdr:rowOff>66615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B7F0AC-A4E5-4194-92B7-B58E2BDDE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15211425"/>
          <a:ext cx="6647619" cy="4761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13307924-80A8-40B9-A8F5-D31EABEA2FDF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" dT="2021-06-11T13:22:51.23" personId="{13307924-80A8-40B9-A8F5-D31EABEA2FDF}" id="{858DA16C-3ADB-4F68-90DA-5A2967C70D0C}">
    <text>this would include PGM</text>
  </threadedComment>
  <threadedComment ref="O12" dT="2021-06-11T14:08:12.72" personId="{13307924-80A8-40B9-A8F5-D31EABEA2FDF}" id="{120523CA-DAB0-4AF3-AD06-88C2982E49D5}">
    <text>O3BC study 2009 has 16.3</text>
  </threadedComment>
  <threadedComment ref="Q21" dT="2021-06-11T13:28:55.99" personId="{13307924-80A8-40B9-A8F5-D31EABEA2FDF}" id="{76AE6714-B14F-4E52-8CF8-621A85EBFB2D}">
    <text>something weird here - drops to 15 in 2021</text>
  </threadedComment>
  <threadedComment ref="L23" dT="2021-06-11T13:44:16.83" personId="{13307924-80A8-40B9-A8F5-D31EABEA2FDF}" id="{4524F4B7-A607-46A8-AD57-6D5DDEDA7B98}">
    <text>this is a function of CV - Eskom had 19.87 but coal data for 2019 seems to indicate lower values</text>
  </threadedComment>
  <threadedComment ref="P23" dT="2021-06-11T14:03:31.91" personId="{13307924-80A8-40B9-A8F5-D31EABEA2FDF}" id="{8E4A6CF8-3676-4A55-B9F0-E0BF79F54B3A}">
    <text>Eskom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77F8-7D2F-44E6-8258-B0E7144F43DC}">
  <dimension ref="D3:R55"/>
  <sheetViews>
    <sheetView tabSelected="1" topLeftCell="A31" workbookViewId="0">
      <selection activeCell="J31" sqref="J31"/>
    </sheetView>
    <sheetView tabSelected="1" workbookViewId="1"/>
  </sheetViews>
  <sheetFormatPr defaultRowHeight="15" x14ac:dyDescent="0.25"/>
  <cols>
    <col min="1" max="1" width="21.7109375" bestFit="1" customWidth="1"/>
    <col min="4" max="4" width="11.28515625" customWidth="1"/>
    <col min="5" max="5" width="16.42578125" customWidth="1"/>
    <col min="13" max="13" width="12.5703125" customWidth="1"/>
    <col min="17" max="17" width="11.85546875" customWidth="1"/>
    <col min="18" max="18" width="11.5703125" customWidth="1"/>
    <col min="22" max="22" width="15.42578125" customWidth="1"/>
  </cols>
  <sheetData>
    <row r="3" spans="5:18" x14ac:dyDescent="0.25">
      <c r="E3" s="2" t="s">
        <v>11</v>
      </c>
      <c r="F3" s="3"/>
      <c r="G3" s="3"/>
      <c r="H3" s="3"/>
      <c r="I3" s="3"/>
      <c r="J3" s="3"/>
    </row>
    <row r="4" spans="5:18" x14ac:dyDescent="0.25">
      <c r="E4" s="2"/>
      <c r="F4" s="2" t="s">
        <v>0</v>
      </c>
      <c r="G4" s="2" t="s">
        <v>1</v>
      </c>
      <c r="H4" s="2" t="s">
        <v>3</v>
      </c>
      <c r="I4" s="2" t="s">
        <v>4</v>
      </c>
      <c r="J4" s="2" t="s">
        <v>2</v>
      </c>
    </row>
    <row r="5" spans="5:18" x14ac:dyDescent="0.25">
      <c r="E5" s="2" t="s">
        <v>5</v>
      </c>
      <c r="F5" s="3">
        <v>24.37</v>
      </c>
      <c r="G5" s="3">
        <v>16.27</v>
      </c>
      <c r="H5" s="3">
        <v>38.15</v>
      </c>
      <c r="I5" s="3">
        <v>0.45</v>
      </c>
      <c r="J5" s="21">
        <v>50</v>
      </c>
      <c r="L5" s="1"/>
      <c r="M5" s="1" t="s">
        <v>197</v>
      </c>
      <c r="N5" s="1" t="s">
        <v>0</v>
      </c>
      <c r="O5" s="1" t="s">
        <v>1</v>
      </c>
      <c r="P5" s="1" t="s">
        <v>3</v>
      </c>
      <c r="Q5" s="1" t="s">
        <v>4</v>
      </c>
      <c r="R5" s="1" t="s">
        <v>2</v>
      </c>
    </row>
    <row r="6" spans="5:18" x14ac:dyDescent="0.25">
      <c r="E6" s="2" t="s">
        <v>6</v>
      </c>
      <c r="F6" s="3">
        <v>0.4</v>
      </c>
      <c r="G6" s="3">
        <v>0.3</v>
      </c>
      <c r="H6" s="3"/>
      <c r="I6" s="3"/>
      <c r="J6" s="3">
        <v>0.23</v>
      </c>
      <c r="L6" s="1" t="s">
        <v>5</v>
      </c>
      <c r="M6" s="1" t="s">
        <v>13</v>
      </c>
      <c r="N6">
        <v>15.59</v>
      </c>
    </row>
    <row r="7" spans="5:18" x14ac:dyDescent="0.25">
      <c r="E7" s="2" t="s">
        <v>7</v>
      </c>
      <c r="F7" s="3">
        <v>3.69</v>
      </c>
      <c r="G7" s="3">
        <v>3.82</v>
      </c>
      <c r="H7" s="3"/>
      <c r="I7" s="3">
        <v>0.51</v>
      </c>
      <c r="J7" s="3">
        <v>4.29</v>
      </c>
      <c r="L7" s="1" t="str">
        <f>E6</f>
        <v>Electricity</v>
      </c>
      <c r="M7" s="1" t="s">
        <v>14</v>
      </c>
      <c r="N7">
        <v>0.31</v>
      </c>
    </row>
    <row r="8" spans="5:18" x14ac:dyDescent="0.25">
      <c r="E8" s="2" t="s">
        <v>8</v>
      </c>
      <c r="F8" s="3">
        <v>1.1000000000000001</v>
      </c>
      <c r="G8" s="3"/>
      <c r="H8" s="3"/>
      <c r="I8" s="3"/>
      <c r="J8" s="3"/>
      <c r="L8" s="1" t="s">
        <v>7</v>
      </c>
      <c r="M8" s="1" t="s">
        <v>15</v>
      </c>
      <c r="N8">
        <v>2.66</v>
      </c>
    </row>
    <row r="9" spans="5:18" x14ac:dyDescent="0.25">
      <c r="E9" s="2" t="s">
        <v>9</v>
      </c>
      <c r="F9" s="3"/>
      <c r="G9" s="3"/>
      <c r="H9" s="3">
        <v>0.14000000000000001</v>
      </c>
      <c r="I9" s="3"/>
      <c r="J9" s="3"/>
      <c r="L9" s="1" t="s">
        <v>8</v>
      </c>
      <c r="M9" s="1" t="s">
        <v>16</v>
      </c>
      <c r="N9">
        <v>0.75</v>
      </c>
    </row>
    <row r="10" spans="5:18" x14ac:dyDescent="0.25">
      <c r="E10" s="2" t="s">
        <v>10</v>
      </c>
      <c r="F10" s="2">
        <f>SUM(F5:F9)</f>
        <v>29.560000000000002</v>
      </c>
      <c r="G10" s="2">
        <f t="shared" ref="G10:J10" si="0">SUM(G5:G9)</f>
        <v>20.39</v>
      </c>
      <c r="H10" s="2">
        <f t="shared" si="0"/>
        <v>38.29</v>
      </c>
      <c r="I10" s="2">
        <f t="shared" si="0"/>
        <v>0.96</v>
      </c>
      <c r="J10" s="2">
        <f t="shared" si="0"/>
        <v>54.519999999999996</v>
      </c>
      <c r="L10" s="1" t="s">
        <v>5</v>
      </c>
      <c r="M10" s="1" t="s">
        <v>17</v>
      </c>
      <c r="O10">
        <v>10.41</v>
      </c>
    </row>
    <row r="11" spans="5:18" x14ac:dyDescent="0.25">
      <c r="L11" s="1" t="s">
        <v>6</v>
      </c>
      <c r="M11" s="1" t="s">
        <v>18</v>
      </c>
      <c r="O11">
        <v>0.23</v>
      </c>
    </row>
    <row r="12" spans="5:18" x14ac:dyDescent="0.25">
      <c r="E12" s="2" t="s">
        <v>12</v>
      </c>
      <c r="F12" s="3"/>
      <c r="G12" s="3"/>
      <c r="H12" s="3"/>
      <c r="I12" s="3"/>
      <c r="J12" s="3"/>
      <c r="L12" s="1" t="s">
        <v>7</v>
      </c>
      <c r="M12" s="1" t="s">
        <v>19</v>
      </c>
      <c r="O12">
        <v>2.75</v>
      </c>
    </row>
    <row r="13" spans="5:18" x14ac:dyDescent="0.25">
      <c r="E13" s="2"/>
      <c r="F13" s="2" t="str">
        <f>F4</f>
        <v>Chemicals33</v>
      </c>
      <c r="G13" s="2" t="str">
        <f t="shared" ref="G13:J13" si="1">G4</f>
        <v>Food_Bev_Tob30</v>
      </c>
      <c r="H13" s="2" t="str">
        <f t="shared" si="1"/>
        <v>Mining2</v>
      </c>
      <c r="I13" s="2" t="str">
        <f t="shared" si="1"/>
        <v>PNFMetals352</v>
      </c>
      <c r="J13" s="2" t="str">
        <f t="shared" si="1"/>
        <v>IndOther</v>
      </c>
      <c r="L13" s="1" t="s">
        <v>5</v>
      </c>
      <c r="M13" s="1" t="s">
        <v>20</v>
      </c>
      <c r="P13">
        <v>24.42</v>
      </c>
    </row>
    <row r="14" spans="5:18" x14ac:dyDescent="0.25">
      <c r="E14" s="2" t="str">
        <f>E5</f>
        <v>Coal</v>
      </c>
      <c r="F14" s="3">
        <f>SUMIF($L$6:$L$19,$E14,N$6:N$19)</f>
        <v>15.59</v>
      </c>
      <c r="G14" s="3">
        <f t="shared" ref="G14:J18" si="2">SUMIF($L$6:$L$19,$E14,O$6:O$19)</f>
        <v>10.41</v>
      </c>
      <c r="H14" s="3">
        <f t="shared" si="2"/>
        <v>24.42</v>
      </c>
      <c r="I14" s="3">
        <f t="shared" si="2"/>
        <v>0.28999999999999998</v>
      </c>
      <c r="J14" s="3">
        <f t="shared" si="2"/>
        <v>32</v>
      </c>
      <c r="L14" s="1" t="s">
        <v>9</v>
      </c>
      <c r="M14" s="1" t="s">
        <v>21</v>
      </c>
      <c r="P14">
        <v>0.1</v>
      </c>
    </row>
    <row r="15" spans="5:18" x14ac:dyDescent="0.25">
      <c r="E15" s="2" t="str">
        <f>E6</f>
        <v>Electricity</v>
      </c>
      <c r="F15" s="3">
        <f t="shared" ref="F15:F18" si="3">SUMIF($L$6:$L$19,$E15,N$6:N$19)</f>
        <v>0.31</v>
      </c>
      <c r="G15" s="3">
        <f t="shared" si="2"/>
        <v>0.23</v>
      </c>
      <c r="H15" s="3">
        <f t="shared" si="2"/>
        <v>0</v>
      </c>
      <c r="I15" s="3">
        <f t="shared" si="2"/>
        <v>0</v>
      </c>
      <c r="J15" s="3">
        <f t="shared" si="2"/>
        <v>0.17</v>
      </c>
      <c r="L15" s="1" t="s">
        <v>5</v>
      </c>
      <c r="M15" s="1" t="s">
        <v>22</v>
      </c>
      <c r="Q15">
        <v>0.28999999999999998</v>
      </c>
    </row>
    <row r="16" spans="5:18" x14ac:dyDescent="0.25">
      <c r="E16" s="2" t="str">
        <f>E7</f>
        <v>Gas</v>
      </c>
      <c r="F16" s="3">
        <f t="shared" si="3"/>
        <v>2.66</v>
      </c>
      <c r="G16" s="3">
        <f t="shared" si="2"/>
        <v>2.75</v>
      </c>
      <c r="H16" s="3">
        <f t="shared" si="2"/>
        <v>0</v>
      </c>
      <c r="I16" s="3">
        <f t="shared" si="2"/>
        <v>0.37</v>
      </c>
      <c r="J16" s="3">
        <f t="shared" si="2"/>
        <v>3.09</v>
      </c>
      <c r="L16" s="1" t="s">
        <v>7</v>
      </c>
      <c r="M16" s="1" t="s">
        <v>23</v>
      </c>
      <c r="Q16">
        <v>0.37</v>
      </c>
    </row>
    <row r="17" spans="5:18" x14ac:dyDescent="0.25">
      <c r="E17" s="2" t="str">
        <f>E8</f>
        <v>HFO</v>
      </c>
      <c r="F17" s="3">
        <f t="shared" si="3"/>
        <v>0.75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L17" s="1" t="s">
        <v>5</v>
      </c>
      <c r="M17" s="1" t="s">
        <v>24</v>
      </c>
      <c r="R17" s="20">
        <f>J5*64%</f>
        <v>32</v>
      </c>
    </row>
    <row r="18" spans="5:18" x14ac:dyDescent="0.25">
      <c r="E18" s="2" t="str">
        <f>E9</f>
        <v>LPG</v>
      </c>
      <c r="F18" s="3">
        <f t="shared" si="3"/>
        <v>0</v>
      </c>
      <c r="G18" s="3">
        <f t="shared" si="2"/>
        <v>0</v>
      </c>
      <c r="H18" s="3">
        <f t="shared" si="2"/>
        <v>0.1</v>
      </c>
      <c r="I18" s="3">
        <f t="shared" si="2"/>
        <v>0</v>
      </c>
      <c r="J18" s="3">
        <f t="shared" si="2"/>
        <v>0</v>
      </c>
      <c r="L18" s="1" t="s">
        <v>6</v>
      </c>
      <c r="M18" s="1" t="s">
        <v>25</v>
      </c>
      <c r="R18">
        <v>0.17</v>
      </c>
    </row>
    <row r="19" spans="5:18" x14ac:dyDescent="0.25">
      <c r="E19" s="2" t="str">
        <f>E10</f>
        <v>Total</v>
      </c>
      <c r="F19" s="2">
        <f>SUM(F14:F18)</f>
        <v>19.310000000000002</v>
      </c>
      <c r="G19" s="2">
        <f t="shared" ref="G19:J19" si="4">SUM(G14:G18)</f>
        <v>13.39</v>
      </c>
      <c r="H19" s="2">
        <f t="shared" si="4"/>
        <v>24.520000000000003</v>
      </c>
      <c r="I19" s="2">
        <f t="shared" si="4"/>
        <v>0.65999999999999992</v>
      </c>
      <c r="J19" s="2">
        <f t="shared" si="4"/>
        <v>35.260000000000005</v>
      </c>
      <c r="L19" s="1" t="s">
        <v>7</v>
      </c>
      <c r="M19" s="1" t="s">
        <v>26</v>
      </c>
      <c r="R19">
        <v>3.09</v>
      </c>
    </row>
    <row r="21" spans="5:18" x14ac:dyDescent="0.25">
      <c r="E21" s="2" t="s">
        <v>27</v>
      </c>
      <c r="F21" s="3"/>
      <c r="G21" s="3"/>
      <c r="H21" s="3"/>
      <c r="I21" s="3"/>
      <c r="J21" s="3"/>
    </row>
    <row r="22" spans="5:18" x14ac:dyDescent="0.25">
      <c r="E22" s="4"/>
      <c r="F22" s="2" t="str">
        <f>F13</f>
        <v>Chemicals33</v>
      </c>
      <c r="G22" s="2" t="str">
        <f t="shared" ref="G22:J22" si="5">G13</f>
        <v>Food_Bev_Tob30</v>
      </c>
      <c r="H22" s="2" t="str">
        <f t="shared" si="5"/>
        <v>Mining2</v>
      </c>
      <c r="I22" s="2" t="str">
        <f t="shared" si="5"/>
        <v>PNFMetals352</v>
      </c>
      <c r="J22" s="2" t="str">
        <f t="shared" si="5"/>
        <v>IndOther</v>
      </c>
    </row>
    <row r="23" spans="5:18" x14ac:dyDescent="0.25">
      <c r="E23" s="4" t="str">
        <f>E14</f>
        <v>Coal</v>
      </c>
      <c r="F23" s="5">
        <f>IFERROR(F14/F5,"")</f>
        <v>0.63972096840377513</v>
      </c>
      <c r="G23" s="5">
        <f t="shared" ref="G23:I23" si="6">IFERROR(G14/G5,"")</f>
        <v>0.63982790411800861</v>
      </c>
      <c r="H23" s="5">
        <f t="shared" si="6"/>
        <v>0.64010484927916123</v>
      </c>
      <c r="I23" s="5">
        <f t="shared" si="6"/>
        <v>0.64444444444444438</v>
      </c>
      <c r="J23" s="5">
        <f t="shared" ref="F23:J24" si="7">IFERROR(J14/J5,"")</f>
        <v>0.64</v>
      </c>
    </row>
    <row r="24" spans="5:18" x14ac:dyDescent="0.25">
      <c r="E24" s="4" t="str">
        <f t="shared" ref="E24:E27" si="8">E15</f>
        <v>Electricity</v>
      </c>
      <c r="F24" s="5">
        <f t="shared" si="7"/>
        <v>0.77499999999999991</v>
      </c>
      <c r="G24" s="5">
        <f t="shared" si="7"/>
        <v>0.76666666666666672</v>
      </c>
      <c r="H24" s="5" t="str">
        <f t="shared" si="7"/>
        <v/>
      </c>
      <c r="I24" s="5" t="str">
        <f t="shared" si="7"/>
        <v/>
      </c>
      <c r="J24" s="5">
        <f t="shared" si="7"/>
        <v>0.73913043478260876</v>
      </c>
    </row>
    <row r="25" spans="5:18" x14ac:dyDescent="0.25">
      <c r="E25" s="4" t="str">
        <f t="shared" si="8"/>
        <v>Gas</v>
      </c>
      <c r="F25" s="5">
        <f t="shared" ref="F25:J25" si="9">IFERROR(F16/F7,"")</f>
        <v>0.72086720867208676</v>
      </c>
      <c r="G25" s="5">
        <f t="shared" si="9"/>
        <v>0.71989528795811519</v>
      </c>
      <c r="H25" s="5" t="str">
        <f t="shared" si="9"/>
        <v/>
      </c>
      <c r="I25" s="5">
        <f t="shared" si="9"/>
        <v>0.72549019607843135</v>
      </c>
      <c r="J25" s="5">
        <f t="shared" si="9"/>
        <v>0.7202797202797202</v>
      </c>
    </row>
    <row r="26" spans="5:18" x14ac:dyDescent="0.25">
      <c r="E26" s="4" t="str">
        <f t="shared" si="8"/>
        <v>HFO</v>
      </c>
      <c r="F26" s="5">
        <f t="shared" ref="F26:J26" si="10">IFERROR(F17/F8,"")</f>
        <v>0.68181818181818177</v>
      </c>
      <c r="G26" s="5" t="str">
        <f t="shared" si="10"/>
        <v/>
      </c>
      <c r="H26" s="5" t="str">
        <f t="shared" si="10"/>
        <v/>
      </c>
      <c r="I26" s="5" t="str">
        <f t="shared" si="10"/>
        <v/>
      </c>
      <c r="J26" s="5" t="str">
        <f t="shared" si="10"/>
        <v/>
      </c>
    </row>
    <row r="27" spans="5:18" x14ac:dyDescent="0.25">
      <c r="E27" s="4" t="str">
        <f t="shared" si="8"/>
        <v>LPG</v>
      </c>
      <c r="F27" s="5" t="str">
        <f t="shared" ref="F27:J27" si="11">IFERROR(F18/F9,"")</f>
        <v/>
      </c>
      <c r="G27" s="5" t="str">
        <f t="shared" si="11"/>
        <v/>
      </c>
      <c r="H27" s="5">
        <f t="shared" si="11"/>
        <v>0.7142857142857143</v>
      </c>
      <c r="I27" s="5" t="str">
        <f t="shared" si="11"/>
        <v/>
      </c>
      <c r="J27" s="5" t="str">
        <f t="shared" si="11"/>
        <v/>
      </c>
    </row>
    <row r="29" spans="5:18" x14ac:dyDescent="0.25">
      <c r="E29" t="s">
        <v>28</v>
      </c>
      <c r="H29" t="s">
        <v>29</v>
      </c>
    </row>
    <row r="30" spans="5:18" x14ac:dyDescent="0.25">
      <c r="H30" t="str">
        <f>CoalBalance!C13</f>
        <v>Iron_Steel351</v>
      </c>
    </row>
    <row r="31" spans="5:18" x14ac:dyDescent="0.25">
      <c r="H31" t="str">
        <f>CoalBalance!C16</f>
        <v>NMMProducts34</v>
      </c>
    </row>
    <row r="32" spans="5:18" x14ac:dyDescent="0.25">
      <c r="H32" t="str">
        <f>CoalBalance!C18</f>
        <v>Pulp_Paper323</v>
      </c>
    </row>
    <row r="33" spans="4:8" x14ac:dyDescent="0.25">
      <c r="H33" t="str">
        <f>CoalBalance!C11</f>
        <v>FerroAlloys</v>
      </c>
    </row>
    <row r="34" spans="4:8" x14ac:dyDescent="0.25">
      <c r="H34" t="str">
        <f>CoalBalance!C8</f>
        <v>Aluminium35220</v>
      </c>
    </row>
    <row r="38" spans="4:8" x14ac:dyDescent="0.25">
      <c r="E38" t="s">
        <v>198</v>
      </c>
    </row>
    <row r="40" spans="4:8" x14ac:dyDescent="0.25">
      <c r="D40" s="2"/>
      <c r="E40" s="2" t="s">
        <v>196</v>
      </c>
      <c r="F40" s="22" t="s">
        <v>200</v>
      </c>
      <c r="G40" s="23"/>
      <c r="H40" s="24"/>
    </row>
    <row r="41" spans="4:8" x14ac:dyDescent="0.25">
      <c r="D41" s="2" t="s">
        <v>172</v>
      </c>
      <c r="E41" s="6" t="s">
        <v>199</v>
      </c>
      <c r="F41" s="7" t="s">
        <v>179</v>
      </c>
      <c r="G41" s="7" t="s">
        <v>180</v>
      </c>
      <c r="H41" s="7" t="s">
        <v>181</v>
      </c>
    </row>
    <row r="42" spans="4:8" x14ac:dyDescent="0.25">
      <c r="D42" s="2" t="str">
        <f>CoalBalance!C14</f>
        <v>Mining2</v>
      </c>
      <c r="E42" s="8" t="s">
        <v>182</v>
      </c>
      <c r="F42" s="9">
        <v>0.56000000000000005</v>
      </c>
      <c r="G42" s="9">
        <v>0.44</v>
      </c>
      <c r="H42" s="9"/>
    </row>
    <row r="43" spans="4:8" x14ac:dyDescent="0.25">
      <c r="D43" s="2" t="str">
        <f>CoalBalance!C12</f>
        <v>Food_Bev_Tob30</v>
      </c>
      <c r="E43" s="8" t="s">
        <v>183</v>
      </c>
      <c r="F43" s="9">
        <v>0.55000000000000004</v>
      </c>
      <c r="G43" s="9">
        <v>0.45</v>
      </c>
      <c r="H43" s="9"/>
    </row>
    <row r="44" spans="4:8" x14ac:dyDescent="0.25">
      <c r="D44" s="2" t="str">
        <f>CoalBalance!C18</f>
        <v>Pulp_Paper323</v>
      </c>
      <c r="E44" s="8" t="s">
        <v>184</v>
      </c>
      <c r="F44" s="9">
        <v>0.26</v>
      </c>
      <c r="G44" s="9">
        <v>0.56999999999999995</v>
      </c>
      <c r="H44" s="9">
        <v>0.17</v>
      </c>
    </row>
    <row r="45" spans="4:8" x14ac:dyDescent="0.25">
      <c r="D45" s="2" t="str">
        <f>CoalBalance!C9</f>
        <v>Chemicals33</v>
      </c>
      <c r="E45" s="10" t="s">
        <v>185</v>
      </c>
      <c r="F45" s="11">
        <v>0.23</v>
      </c>
      <c r="G45" s="11">
        <v>0.28000000000000003</v>
      </c>
      <c r="H45" s="11">
        <v>0.49</v>
      </c>
    </row>
    <row r="46" spans="4:8" x14ac:dyDescent="0.25">
      <c r="D46" s="2" t="str">
        <f>CoalBalance!C9</f>
        <v>Chemicals33</v>
      </c>
      <c r="E46" s="10" t="s">
        <v>186</v>
      </c>
      <c r="F46" s="11">
        <v>0.22</v>
      </c>
      <c r="G46" s="11">
        <v>0.28999999999999998</v>
      </c>
      <c r="H46" s="11">
        <v>0.49</v>
      </c>
    </row>
    <row r="47" spans="4:8" x14ac:dyDescent="0.25">
      <c r="D47" s="2" t="str">
        <f>CoalBalance!C9</f>
        <v>Chemicals33</v>
      </c>
      <c r="E47" s="10" t="s">
        <v>187</v>
      </c>
      <c r="F47" s="11">
        <v>0.61</v>
      </c>
      <c r="G47" s="11">
        <v>0.37</v>
      </c>
      <c r="H47" s="11">
        <v>0.02</v>
      </c>
    </row>
    <row r="48" spans="4:8" x14ac:dyDescent="0.25">
      <c r="D48" s="2" t="str">
        <f>CoalBalance!C16</f>
        <v>NMMProducts34</v>
      </c>
      <c r="E48" s="10" t="s">
        <v>188</v>
      </c>
      <c r="F48" s="11">
        <v>0.05</v>
      </c>
      <c r="G48" s="11">
        <v>0.1</v>
      </c>
      <c r="H48" s="11">
        <v>0.85</v>
      </c>
    </row>
    <row r="49" spans="4:8" x14ac:dyDescent="0.25">
      <c r="D49" s="2" t="str">
        <f>CoalBalance!C16</f>
        <v>NMMProducts34</v>
      </c>
      <c r="E49" s="10" t="s">
        <v>189</v>
      </c>
      <c r="F49" s="11">
        <v>7.0000000000000007E-2</v>
      </c>
      <c r="G49" s="11">
        <v>0.04</v>
      </c>
      <c r="H49" s="11">
        <v>0.89</v>
      </c>
    </row>
    <row r="50" spans="4:8" x14ac:dyDescent="0.25">
      <c r="D50" s="2" t="str">
        <f>CoalBalance!C13</f>
        <v>Iron_Steel351</v>
      </c>
      <c r="E50" s="10" t="s">
        <v>190</v>
      </c>
      <c r="F50" s="11">
        <v>0.02</v>
      </c>
      <c r="G50" s="11">
        <v>0.05</v>
      </c>
      <c r="H50" s="11">
        <v>0.93</v>
      </c>
    </row>
    <row r="51" spans="4:8" x14ac:dyDescent="0.25">
      <c r="D51" s="2" t="str">
        <f>CoalBalance!C15</f>
        <v>PNFMetals352</v>
      </c>
      <c r="E51" s="10" t="s">
        <v>191</v>
      </c>
      <c r="F51" s="11">
        <v>0.18</v>
      </c>
      <c r="G51" s="11">
        <v>0.12</v>
      </c>
      <c r="H51" s="11">
        <v>0.7</v>
      </c>
    </row>
    <row r="52" spans="4:8" x14ac:dyDescent="0.25">
      <c r="D52" s="2" t="str">
        <f>CoalBalance!C17</f>
        <v>IndOther</v>
      </c>
      <c r="E52" s="10" t="s">
        <v>192</v>
      </c>
      <c r="F52" s="11">
        <v>0.45</v>
      </c>
      <c r="G52" s="11">
        <v>0.34</v>
      </c>
      <c r="H52" s="11">
        <v>0.21</v>
      </c>
    </row>
    <row r="53" spans="4:8" x14ac:dyDescent="0.25">
      <c r="D53" s="2" t="str">
        <f>CoalBalance!C17</f>
        <v>IndOther</v>
      </c>
      <c r="E53" s="10" t="s">
        <v>193</v>
      </c>
      <c r="F53" s="11">
        <v>0.66</v>
      </c>
      <c r="G53" s="11">
        <v>0.24</v>
      </c>
      <c r="H53" s="11">
        <v>0.1</v>
      </c>
    </row>
    <row r="54" spans="4:8" x14ac:dyDescent="0.25">
      <c r="D54" s="2" t="str">
        <f>CoalBalance!C17</f>
        <v>IndOther</v>
      </c>
      <c r="E54" s="10" t="s">
        <v>194</v>
      </c>
      <c r="F54" s="11">
        <v>0.61</v>
      </c>
      <c r="G54" s="11">
        <v>0.28000000000000003</v>
      </c>
      <c r="H54" s="11">
        <v>0.11</v>
      </c>
    </row>
    <row r="55" spans="4:8" x14ac:dyDescent="0.25">
      <c r="D55" s="2" t="str">
        <f>CoalBalance!C17</f>
        <v>IndOther</v>
      </c>
      <c r="E55" s="10" t="s">
        <v>195</v>
      </c>
      <c r="F55" s="11">
        <v>0.48</v>
      </c>
      <c r="G55" s="11">
        <v>0.35</v>
      </c>
      <c r="H55" s="11">
        <v>0.17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20C1-45BD-4128-9DB1-FA2076926A66}">
  <dimension ref="C3:R95"/>
  <sheetViews>
    <sheetView workbookViewId="0">
      <selection activeCell="C32" sqref="C32:G95"/>
    </sheetView>
    <sheetView workbookViewId="1"/>
  </sheetViews>
  <sheetFormatPr defaultRowHeight="15" x14ac:dyDescent="0.25"/>
  <sheetData>
    <row r="3" spans="3:18" x14ac:dyDescent="0.25">
      <c r="C3" t="s">
        <v>222</v>
      </c>
    </row>
    <row r="4" spans="3:18" x14ac:dyDescent="0.25">
      <c r="E4" t="s">
        <v>214</v>
      </c>
      <c r="F4" t="s">
        <v>219</v>
      </c>
      <c r="G4" t="s">
        <v>203</v>
      </c>
      <c r="H4" t="s">
        <v>214</v>
      </c>
      <c r="I4" t="s">
        <v>203</v>
      </c>
      <c r="J4" t="s">
        <v>214</v>
      </c>
      <c r="K4" t="s">
        <v>208</v>
      </c>
      <c r="L4" t="s">
        <v>211</v>
      </c>
      <c r="M4" t="s">
        <v>217</v>
      </c>
      <c r="N4" t="s">
        <v>218</v>
      </c>
      <c r="O4" t="s">
        <v>221</v>
      </c>
      <c r="P4" t="s">
        <v>195</v>
      </c>
      <c r="Q4" t="s">
        <v>211</v>
      </c>
      <c r="R4" t="s">
        <v>208</v>
      </c>
    </row>
    <row r="5" spans="3:18" x14ac:dyDescent="0.25">
      <c r="C5" s="1" t="s">
        <v>177</v>
      </c>
      <c r="E5" t="s">
        <v>201</v>
      </c>
      <c r="F5" t="s">
        <v>220</v>
      </c>
      <c r="G5" t="s">
        <v>202</v>
      </c>
      <c r="H5" t="s">
        <v>204</v>
      </c>
      <c r="I5" t="s">
        <v>205</v>
      </c>
      <c r="J5" t="s">
        <v>206</v>
      </c>
      <c r="K5" t="s">
        <v>206</v>
      </c>
      <c r="L5" t="s">
        <v>206</v>
      </c>
      <c r="M5" t="s">
        <v>206</v>
      </c>
      <c r="N5" t="s">
        <v>206</v>
      </c>
      <c r="O5" t="s">
        <v>206</v>
      </c>
      <c r="P5" t="s">
        <v>206</v>
      </c>
      <c r="Q5" t="s">
        <v>204</v>
      </c>
      <c r="R5" t="s">
        <v>204</v>
      </c>
    </row>
    <row r="7" spans="3:18" x14ac:dyDescent="0.25">
      <c r="C7" s="1" t="s">
        <v>209</v>
      </c>
      <c r="D7" s="1"/>
      <c r="E7" s="1">
        <f>SUM(E8:E21)</f>
        <v>17239.760000000002</v>
      </c>
      <c r="F7" s="1">
        <f>SUM(F8:F21)</f>
        <v>313</v>
      </c>
      <c r="G7" s="1">
        <f>SUM(G8:G21)</f>
        <v>495</v>
      </c>
      <c r="H7" s="1">
        <f>SUM(H8:H21)</f>
        <v>378.21299999999997</v>
      </c>
      <c r="I7" s="1">
        <f>SUM(I8:I21)</f>
        <v>13185</v>
      </c>
      <c r="J7" s="1">
        <f>SUM(J8:J21)</f>
        <v>14.708991402116403</v>
      </c>
      <c r="K7" s="19">
        <f>SUM(K8:K21)</f>
        <v>15.208991402116403</v>
      </c>
      <c r="L7" s="19">
        <f>SUM(L8:L21)</f>
        <v>21.067375661375657</v>
      </c>
      <c r="M7" s="19">
        <f>SUM(M8:M21)</f>
        <v>25.453100000000003</v>
      </c>
      <c r="N7" s="19">
        <f>SUM(N8:N21)</f>
        <v>25.430000000000003</v>
      </c>
      <c r="Q7" s="1">
        <f>SUM(Q8:Q21)</f>
        <v>546.68999999999994</v>
      </c>
      <c r="R7" s="1">
        <f>SUM(R8:R21)</f>
        <v>391.71299999999997</v>
      </c>
    </row>
    <row r="8" spans="3:18" x14ac:dyDescent="0.25">
      <c r="C8" t="s">
        <v>173</v>
      </c>
      <c r="E8">
        <f>SUMIF(CoalBalance!$C$33:$C$95,C8,CoalBalance!$G$33:$G$95)</f>
        <v>0</v>
      </c>
    </row>
    <row r="9" spans="3:18" x14ac:dyDescent="0.25">
      <c r="C9" t="s">
        <v>0</v>
      </c>
      <c r="E9">
        <f>SUMIF(CoalBalance!$C$33:$C$95,C9,CoalBalance!$G$33:$G$95)</f>
        <v>486.27</v>
      </c>
      <c r="F9">
        <v>21</v>
      </c>
      <c r="G9">
        <v>15</v>
      </c>
      <c r="H9" s="13">
        <f>E9/G9</f>
        <v>32.417999999999999</v>
      </c>
      <c r="I9" s="15">
        <f>G9*F9</f>
        <v>315</v>
      </c>
      <c r="J9" s="14">
        <f>E9/I9</f>
        <v>1.5437142857142856</v>
      </c>
      <c r="K9" s="14">
        <f>J9</f>
        <v>1.5437142857142856</v>
      </c>
      <c r="L9" s="17">
        <f>SUM(Q9:Q10)/F9</f>
        <v>1.5857142857142856</v>
      </c>
      <c r="M9">
        <v>1.25</v>
      </c>
      <c r="N9">
        <v>1.7</v>
      </c>
      <c r="O9" s="14">
        <f>1.5/F9</f>
        <v>7.1428571428571425E-2</v>
      </c>
      <c r="Q9">
        <v>24.46</v>
      </c>
      <c r="R9" s="12">
        <f>K9*F9</f>
        <v>32.417999999999999</v>
      </c>
    </row>
    <row r="10" spans="3:18" x14ac:dyDescent="0.25">
      <c r="C10" t="s">
        <v>213</v>
      </c>
      <c r="O10" s="14"/>
      <c r="Q10">
        <v>8.84</v>
      </c>
      <c r="R10" s="12">
        <f>K10*F10</f>
        <v>0</v>
      </c>
    </row>
    <row r="11" spans="3:18" x14ac:dyDescent="0.25">
      <c r="C11" t="s">
        <v>31</v>
      </c>
      <c r="E11">
        <f>SUMIF(CoalBalance!$C$33:$C$95,C11,CoalBalance!$G$33:$G$95)</f>
        <v>3560.55</v>
      </c>
      <c r="F11">
        <v>28</v>
      </c>
      <c r="G11">
        <v>60</v>
      </c>
      <c r="H11" s="13">
        <f>E11/G11</f>
        <v>59.342500000000001</v>
      </c>
      <c r="I11" s="15">
        <f>G11*F11</f>
        <v>1680</v>
      </c>
      <c r="J11" s="14">
        <f>E11/I11</f>
        <v>2.1193750000000002</v>
      </c>
      <c r="K11" s="14">
        <f>J11</f>
        <v>2.1193750000000002</v>
      </c>
      <c r="L11" s="18">
        <f>Q11/F11</f>
        <v>1.6353571428571427</v>
      </c>
      <c r="M11">
        <v>2.7</v>
      </c>
      <c r="N11">
        <v>1.6</v>
      </c>
      <c r="O11" s="14"/>
      <c r="Q11">
        <v>45.79</v>
      </c>
      <c r="R11" s="12">
        <f>K11*F11</f>
        <v>59.342500000000008</v>
      </c>
    </row>
    <row r="12" spans="3:18" x14ac:dyDescent="0.25">
      <c r="C12" t="s">
        <v>1</v>
      </c>
      <c r="E12">
        <f>SUMIF(CoalBalance!$C$33:$C$95,C12,CoalBalance!$G$33:$G$95)</f>
        <v>741.88000000000011</v>
      </c>
      <c r="F12">
        <v>27</v>
      </c>
      <c r="G12">
        <v>45</v>
      </c>
      <c r="H12" s="13">
        <f>E12/G12</f>
        <v>16.486222222222224</v>
      </c>
      <c r="I12" s="15">
        <f>G12*F12</f>
        <v>1215</v>
      </c>
      <c r="J12" s="14">
        <f>E12/I12</f>
        <v>0.61060082304526753</v>
      </c>
      <c r="K12" s="14">
        <f>J12</f>
        <v>0.61060082304526753</v>
      </c>
      <c r="L12" s="14">
        <f>Q12/F12</f>
        <v>0.60259259259259257</v>
      </c>
      <c r="O12" s="14">
        <f>23.1/F12</f>
        <v>0.85555555555555562</v>
      </c>
      <c r="Q12">
        <v>16.27</v>
      </c>
      <c r="R12" s="12">
        <f>K12*F12</f>
        <v>16.486222222222224</v>
      </c>
    </row>
    <row r="13" spans="3:18" x14ac:dyDescent="0.25">
      <c r="C13" t="s">
        <v>174</v>
      </c>
      <c r="E13">
        <f>SUMIF(CoalBalance!$C$33:$C$95,C13,CoalBalance!$G$33:$G$95)</f>
        <v>3576.96</v>
      </c>
      <c r="F13">
        <v>28</v>
      </c>
      <c r="G13">
        <v>60</v>
      </c>
      <c r="H13" s="13">
        <f>E13/G13</f>
        <v>59.616</v>
      </c>
      <c r="I13" s="15">
        <f>G13*F13</f>
        <v>1680</v>
      </c>
      <c r="J13" s="14">
        <f>E13/I13</f>
        <v>2.129142857142857</v>
      </c>
      <c r="K13" s="14">
        <f>J13</f>
        <v>2.129142857142857</v>
      </c>
      <c r="L13" s="14">
        <f>Q13/F13</f>
        <v>2.8717857142857142</v>
      </c>
      <c r="M13">
        <v>2.91</v>
      </c>
      <c r="N13">
        <v>3.1</v>
      </c>
      <c r="O13" s="14"/>
      <c r="Q13">
        <v>80.41</v>
      </c>
      <c r="R13" s="12">
        <f>K13*F13</f>
        <v>59.616</v>
      </c>
    </row>
    <row r="14" spans="3:18" x14ac:dyDescent="0.25">
      <c r="C14" t="s">
        <v>3</v>
      </c>
      <c r="E14">
        <f>SUMIF(CoalBalance!$C$33:$C$95,C14,CoalBalance!$G$33:$G$95)</f>
        <v>1229.06</v>
      </c>
      <c r="F14">
        <v>27</v>
      </c>
      <c r="G14">
        <v>45</v>
      </c>
      <c r="H14" s="13">
        <f>E14/G14</f>
        <v>27.312444444444445</v>
      </c>
      <c r="I14" s="15">
        <f>G14*F14</f>
        <v>1215</v>
      </c>
      <c r="J14" s="14">
        <f>E14/I14</f>
        <v>1.0115720164609052</v>
      </c>
      <c r="K14" s="14">
        <f>J14</f>
        <v>1.0115720164609052</v>
      </c>
      <c r="L14" s="18">
        <f>Q14/F14</f>
        <v>1.412962962962963</v>
      </c>
      <c r="M14">
        <v>4.7100000000000003E-2</v>
      </c>
      <c r="N14">
        <v>0.06</v>
      </c>
      <c r="O14" s="14">
        <f>3.5/F14</f>
        <v>0.12962962962962962</v>
      </c>
      <c r="Q14">
        <v>38.15</v>
      </c>
      <c r="R14" s="12">
        <f>K14*F14</f>
        <v>27.312444444444441</v>
      </c>
    </row>
    <row r="15" spans="3:18" x14ac:dyDescent="0.25">
      <c r="C15" t="s">
        <v>4</v>
      </c>
      <c r="E15">
        <f>SUMIF(CoalBalance!$C$33:$C$95,C15,CoalBalance!$G$33:$G$95)</f>
        <v>18.95</v>
      </c>
      <c r="F15">
        <v>27</v>
      </c>
      <c r="G15">
        <v>60</v>
      </c>
      <c r="H15" s="13">
        <f>E15/G15</f>
        <v>0.3158333333333333</v>
      </c>
      <c r="I15" s="15">
        <f>G15*F15</f>
        <v>1620</v>
      </c>
      <c r="J15" s="14">
        <f>E15/I15</f>
        <v>1.1697530864197531E-2</v>
      </c>
      <c r="K15" s="14">
        <f>J15</f>
        <v>1.1697530864197531E-2</v>
      </c>
      <c r="L15" s="14">
        <f>Q15/F15</f>
        <v>1.6666666666666666E-2</v>
      </c>
      <c r="O15" s="14"/>
      <c r="Q15">
        <v>0.45</v>
      </c>
      <c r="R15" s="12">
        <f>K15*F15</f>
        <v>0.3158333333333333</v>
      </c>
    </row>
    <row r="16" spans="3:18" x14ac:dyDescent="0.25">
      <c r="C16" t="s">
        <v>175</v>
      </c>
      <c r="E16">
        <f>SUMIF(CoalBalance!$C$33:$C$95,C16,CoalBalance!$G$33:$G$95)</f>
        <v>1192.8</v>
      </c>
      <c r="F16">
        <v>20</v>
      </c>
      <c r="G16">
        <v>30</v>
      </c>
      <c r="H16" s="13">
        <f>E16/G16</f>
        <v>39.76</v>
      </c>
      <c r="I16" s="15">
        <f>G16*F16</f>
        <v>600</v>
      </c>
      <c r="J16" s="14">
        <f>E16/I16</f>
        <v>1.988</v>
      </c>
      <c r="K16" s="14">
        <f>J16</f>
        <v>1.988</v>
      </c>
      <c r="L16" s="18">
        <f>Q16/F16</f>
        <v>2.4460000000000002</v>
      </c>
      <c r="M16">
        <v>1.236</v>
      </c>
      <c r="N16">
        <v>1.3</v>
      </c>
      <c r="O16" s="14"/>
      <c r="Q16">
        <v>48.92</v>
      </c>
      <c r="R16" s="12">
        <f>K16*F16</f>
        <v>39.76</v>
      </c>
    </row>
    <row r="17" spans="3:18" x14ac:dyDescent="0.25">
      <c r="C17" t="s">
        <v>2</v>
      </c>
      <c r="E17">
        <f>SUMIF(CoalBalance!$C$33:$C$95,C17,CoalBalance!$G$33:$G$95)</f>
        <v>2286.8199999999997</v>
      </c>
      <c r="F17">
        <v>27</v>
      </c>
      <c r="G17">
        <v>45</v>
      </c>
      <c r="H17" s="13">
        <f>E17/G17</f>
        <v>50.818222222222218</v>
      </c>
      <c r="I17" s="15">
        <f>G17*F17</f>
        <v>1215</v>
      </c>
      <c r="J17" s="14">
        <f>E17/I17</f>
        <v>1.8821563786008229</v>
      </c>
      <c r="K17" s="14">
        <f>J17</f>
        <v>1.8821563786008229</v>
      </c>
      <c r="L17" s="18">
        <f>Q17/F17</f>
        <v>6.6092592592592592</v>
      </c>
      <c r="M17">
        <v>12.3</v>
      </c>
      <c r="N17">
        <v>12.8</v>
      </c>
      <c r="O17" s="14">
        <f>1.1/F17</f>
        <v>4.0740740740740744E-2</v>
      </c>
      <c r="Q17">
        <v>178.45</v>
      </c>
      <c r="R17" s="12">
        <f>K17*F17</f>
        <v>50.818222222222218</v>
      </c>
    </row>
    <row r="18" spans="3:18" x14ac:dyDescent="0.25">
      <c r="C18" t="s">
        <v>176</v>
      </c>
      <c r="E18">
        <f>SUMIF(CoalBalance!$C$33:$C$95,C18,CoalBalance!$G$33:$G$95)</f>
        <v>3224.23</v>
      </c>
      <c r="F18">
        <v>27</v>
      </c>
      <c r="G18">
        <v>45</v>
      </c>
      <c r="H18" s="13">
        <f>E18/G18</f>
        <v>71.649555555555551</v>
      </c>
      <c r="I18" s="15">
        <f>G18*F18</f>
        <v>1215</v>
      </c>
      <c r="J18" s="14">
        <f>E18/I18</f>
        <v>2.653687242798354</v>
      </c>
      <c r="K18" s="14">
        <f>J18</f>
        <v>2.653687242798354</v>
      </c>
      <c r="L18" s="18">
        <f>Q18/F18</f>
        <v>1.6822222222222223</v>
      </c>
      <c r="M18">
        <v>4.9400000000000004</v>
      </c>
      <c r="N18">
        <v>4.8</v>
      </c>
      <c r="O18" s="14">
        <f>2.9/F18</f>
        <v>0.10740740740740741</v>
      </c>
      <c r="Q18">
        <v>45.42</v>
      </c>
      <c r="R18" s="12">
        <f>K18*F18</f>
        <v>71.649555555555551</v>
      </c>
    </row>
    <row r="19" spans="3:18" x14ac:dyDescent="0.25">
      <c r="C19" t="s">
        <v>46</v>
      </c>
      <c r="E19">
        <f>SUMIF(CoalBalance!$C$33:$C$95,C19,CoalBalance!$G$33:$G$95)</f>
        <v>899.16</v>
      </c>
      <c r="F19">
        <v>27</v>
      </c>
      <c r="G19">
        <v>45</v>
      </c>
      <c r="H19" s="13">
        <f>E19/G19</f>
        <v>19.981333333333332</v>
      </c>
      <c r="I19" s="15">
        <f>G19*F19</f>
        <v>1215</v>
      </c>
      <c r="J19" s="14">
        <f>E19/I19</f>
        <v>0.74004938271604936</v>
      </c>
      <c r="K19" s="14">
        <f>J19</f>
        <v>0.74004938271604936</v>
      </c>
      <c r="L19" s="14">
        <f>Q19/F19</f>
        <v>0.99</v>
      </c>
      <c r="Q19">
        <v>26.73</v>
      </c>
      <c r="R19" s="12">
        <f>K19*F19</f>
        <v>19.981333333333332</v>
      </c>
    </row>
    <row r="20" spans="3:18" x14ac:dyDescent="0.25">
      <c r="C20" t="s">
        <v>32</v>
      </c>
      <c r="E20">
        <f>SUMIF(CoalBalance!$C$33:$C$95,C20,CoalBalance!$G$33:$G$95)</f>
        <v>23.08</v>
      </c>
      <c r="F20">
        <v>27</v>
      </c>
      <c r="G20">
        <v>45</v>
      </c>
      <c r="H20" s="13">
        <f>E20/G20</f>
        <v>0.51288888888888884</v>
      </c>
      <c r="I20" s="15">
        <f>G20*F20</f>
        <v>1215</v>
      </c>
      <c r="J20" s="14">
        <f>E20/I20</f>
        <v>1.8995884773662552E-2</v>
      </c>
      <c r="K20" s="14">
        <f>J20</f>
        <v>1.8995884773662552E-2</v>
      </c>
      <c r="L20" s="14">
        <f>Q20/F20</f>
        <v>2.9629629629629631E-2</v>
      </c>
      <c r="M20">
        <v>7.0000000000000007E-2</v>
      </c>
      <c r="N20">
        <v>7.0000000000000007E-2</v>
      </c>
      <c r="Q20">
        <v>0.8</v>
      </c>
      <c r="R20" s="12">
        <f>K20*F20</f>
        <v>0.51288888888888895</v>
      </c>
    </row>
    <row r="21" spans="3:18" x14ac:dyDescent="0.25">
      <c r="C21" t="s">
        <v>210</v>
      </c>
      <c r="F21">
        <v>27</v>
      </c>
      <c r="K21">
        <v>0.5</v>
      </c>
      <c r="L21" s="18">
        <f>Q21/F21</f>
        <v>1.1851851851851851</v>
      </c>
      <c r="Q21">
        <v>32</v>
      </c>
      <c r="R21" s="12">
        <f>K21*F21</f>
        <v>13.5</v>
      </c>
    </row>
    <row r="22" spans="3:18" x14ac:dyDescent="0.25">
      <c r="R22" s="12">
        <f>K22*F22</f>
        <v>0</v>
      </c>
    </row>
    <row r="23" spans="3:18" x14ac:dyDescent="0.25">
      <c r="C23" t="s">
        <v>44</v>
      </c>
      <c r="D23" t="s">
        <v>215</v>
      </c>
      <c r="E23">
        <f>SUMIF(CoalBalance!$C$33:$C$95,C23,CoalBalance!$G$33:$G$95)</f>
        <v>36567.269999999997</v>
      </c>
      <c r="F23" s="12">
        <f>Q23/L23</f>
        <v>19.222353139202156</v>
      </c>
      <c r="G23">
        <v>16</v>
      </c>
      <c r="H23" s="13">
        <f>E23/G23</f>
        <v>2285.4543749999998</v>
      </c>
      <c r="I23" s="15">
        <f>G23*F23</f>
        <v>307.55765022723449</v>
      </c>
      <c r="J23" s="14">
        <f>E23/I23</f>
        <v>118.89566061186513</v>
      </c>
      <c r="K23">
        <v>120</v>
      </c>
      <c r="L23">
        <f>120-L24</f>
        <v>118.82</v>
      </c>
      <c r="M23">
        <v>115</v>
      </c>
      <c r="N23">
        <v>112</v>
      </c>
      <c r="P23">
        <v>116.55</v>
      </c>
      <c r="Q23">
        <f>2284</f>
        <v>2284</v>
      </c>
      <c r="R23" s="12">
        <f>K23*F23</f>
        <v>2306.6823767042588</v>
      </c>
    </row>
    <row r="24" spans="3:18" x14ac:dyDescent="0.25">
      <c r="D24" t="s">
        <v>216</v>
      </c>
      <c r="L24">
        <v>1.18</v>
      </c>
      <c r="R24" s="12">
        <f>K24*F24</f>
        <v>0</v>
      </c>
    </row>
    <row r="25" spans="3:18" x14ac:dyDescent="0.25">
      <c r="C25" t="s">
        <v>207</v>
      </c>
      <c r="E25">
        <f>SUMIF(CoalBalance!$C$33:$C$95,C25,CoalBalance!$G$33:$G$95)</f>
        <v>7737.63</v>
      </c>
      <c r="F25">
        <v>20.84</v>
      </c>
      <c r="G25">
        <v>9.1999999999999993</v>
      </c>
      <c r="H25" s="13">
        <f>E25/G25</f>
        <v>841.04673913043484</v>
      </c>
      <c r="I25" s="15">
        <f>G25*F25</f>
        <v>191.72799999999998</v>
      </c>
      <c r="J25" s="14">
        <f>E25/I25</f>
        <v>40.357329132938332</v>
      </c>
      <c r="K25">
        <v>39.6</v>
      </c>
      <c r="L25" s="13">
        <f>SUM(Q25:Q26)/F25</f>
        <v>39.619001919385802</v>
      </c>
      <c r="M25">
        <v>39</v>
      </c>
      <c r="N25">
        <v>38.9</v>
      </c>
      <c r="Q25">
        <v>786.33</v>
      </c>
      <c r="R25" s="12">
        <f>K25*F25</f>
        <v>825.26400000000001</v>
      </c>
    </row>
    <row r="26" spans="3:18" x14ac:dyDescent="0.25">
      <c r="C26" t="s">
        <v>212</v>
      </c>
      <c r="F26">
        <f>F25</f>
        <v>20.84</v>
      </c>
      <c r="Q26">
        <v>39.33</v>
      </c>
      <c r="R26" s="12">
        <f>K26*F26</f>
        <v>0</v>
      </c>
    </row>
    <row r="27" spans="3:18" x14ac:dyDescent="0.25">
      <c r="C27" s="1" t="s">
        <v>10</v>
      </c>
      <c r="D27" s="1"/>
      <c r="E27" s="16">
        <f>SUM(E9:E25)</f>
        <v>61544.659999999996</v>
      </c>
      <c r="F27" s="1"/>
      <c r="G27" s="1"/>
      <c r="H27" s="16">
        <f>SUM(H9:H25)</f>
        <v>3504.7141141304346</v>
      </c>
      <c r="I27" s="16"/>
      <c r="J27" s="16">
        <f>SUM(J9:J25)</f>
        <v>173.96198114691987</v>
      </c>
      <c r="K27" s="16">
        <f>SUM(K9:K25)</f>
        <v>174.80899140211639</v>
      </c>
      <c r="L27" s="16">
        <f>SUM(L9:L25)</f>
        <v>180.68637758076144</v>
      </c>
      <c r="M27" s="16">
        <f>SUM(M9:M25)</f>
        <v>179.45310000000001</v>
      </c>
      <c r="N27" s="16">
        <f>SUM(N9:N25)</f>
        <v>176.33</v>
      </c>
      <c r="Q27" s="16">
        <f>SUM(Q9:Q26)</f>
        <v>3656.35</v>
      </c>
      <c r="R27" s="16">
        <f>SUM(R9:R26)</f>
        <v>3523.6593767042586</v>
      </c>
    </row>
    <row r="32" spans="3:18" x14ac:dyDescent="0.25">
      <c r="C32" s="1" t="s">
        <v>178</v>
      </c>
    </row>
    <row r="33" spans="3:7" x14ac:dyDescent="0.25">
      <c r="C33" t="s">
        <v>32</v>
      </c>
      <c r="D33" t="s">
        <v>32</v>
      </c>
      <c r="E33" t="s">
        <v>32</v>
      </c>
      <c r="F33" t="s">
        <v>109</v>
      </c>
      <c r="G33">
        <v>23.08</v>
      </c>
    </row>
    <row r="34" spans="3:7" x14ac:dyDescent="0.25">
      <c r="C34" t="s">
        <v>32</v>
      </c>
      <c r="D34" t="s">
        <v>32</v>
      </c>
      <c r="E34" t="s">
        <v>48</v>
      </c>
      <c r="F34" t="s">
        <v>110</v>
      </c>
      <c r="G34">
        <v>0</v>
      </c>
    </row>
    <row r="35" spans="3:7" x14ac:dyDescent="0.25">
      <c r="C35" t="s">
        <v>32</v>
      </c>
      <c r="D35" t="s">
        <v>32</v>
      </c>
      <c r="E35" t="s">
        <v>49</v>
      </c>
      <c r="F35" t="s">
        <v>111</v>
      </c>
      <c r="G35">
        <v>0</v>
      </c>
    </row>
    <row r="36" spans="3:7" x14ac:dyDescent="0.25">
      <c r="C36" t="s">
        <v>3</v>
      </c>
      <c r="D36" t="s">
        <v>182</v>
      </c>
      <c r="E36" t="s">
        <v>50</v>
      </c>
      <c r="F36" t="s">
        <v>112</v>
      </c>
      <c r="G36">
        <v>8.2899999999999991</v>
      </c>
    </row>
    <row r="37" spans="3:7" x14ac:dyDescent="0.25">
      <c r="C37" t="s">
        <v>3</v>
      </c>
      <c r="D37" t="s">
        <v>182</v>
      </c>
      <c r="E37" t="s">
        <v>51</v>
      </c>
      <c r="F37" t="s">
        <v>113</v>
      </c>
      <c r="G37">
        <v>451.16</v>
      </c>
    </row>
    <row r="38" spans="3:7" x14ac:dyDescent="0.25">
      <c r="C38" t="s">
        <v>31</v>
      </c>
      <c r="D38" t="s">
        <v>182</v>
      </c>
      <c r="E38" t="s">
        <v>52</v>
      </c>
      <c r="F38" t="s">
        <v>114</v>
      </c>
      <c r="G38">
        <v>3560.55</v>
      </c>
    </row>
    <row r="39" spans="3:7" x14ac:dyDescent="0.25">
      <c r="C39" t="s">
        <v>3</v>
      </c>
      <c r="D39" t="s">
        <v>182</v>
      </c>
      <c r="E39" t="s">
        <v>53</v>
      </c>
      <c r="F39" t="s">
        <v>115</v>
      </c>
      <c r="G39">
        <v>769.61</v>
      </c>
    </row>
    <row r="40" spans="3:7" x14ac:dyDescent="0.25">
      <c r="C40" t="s">
        <v>1</v>
      </c>
      <c r="D40" t="s">
        <v>33</v>
      </c>
      <c r="E40" t="s">
        <v>54</v>
      </c>
      <c r="F40" t="s">
        <v>116</v>
      </c>
      <c r="G40">
        <v>636.07000000000005</v>
      </c>
    </row>
    <row r="41" spans="3:7" x14ac:dyDescent="0.25">
      <c r="C41" t="s">
        <v>1</v>
      </c>
      <c r="D41" t="s">
        <v>33</v>
      </c>
      <c r="E41" t="s">
        <v>55</v>
      </c>
      <c r="F41" t="s">
        <v>117</v>
      </c>
      <c r="G41">
        <v>105.81</v>
      </c>
    </row>
    <row r="42" spans="3:7" x14ac:dyDescent="0.25">
      <c r="C42" t="s">
        <v>2</v>
      </c>
      <c r="D42" t="s">
        <v>34</v>
      </c>
      <c r="E42" t="s">
        <v>56</v>
      </c>
      <c r="F42" t="s">
        <v>118</v>
      </c>
      <c r="G42">
        <v>238.98</v>
      </c>
    </row>
    <row r="43" spans="3:7" x14ac:dyDescent="0.25">
      <c r="C43" t="s">
        <v>2</v>
      </c>
      <c r="D43" t="s">
        <v>34</v>
      </c>
      <c r="E43" t="s">
        <v>57</v>
      </c>
      <c r="F43" t="s">
        <v>119</v>
      </c>
      <c r="G43">
        <v>73.69</v>
      </c>
    </row>
    <row r="44" spans="3:7" x14ac:dyDescent="0.25">
      <c r="C44" t="s">
        <v>2</v>
      </c>
      <c r="D44" t="s">
        <v>34</v>
      </c>
      <c r="E44" t="s">
        <v>58</v>
      </c>
      <c r="F44" t="s">
        <v>120</v>
      </c>
      <c r="G44">
        <v>3.97</v>
      </c>
    </row>
    <row r="45" spans="3:7" x14ac:dyDescent="0.25">
      <c r="C45" t="s">
        <v>2</v>
      </c>
      <c r="D45" t="s">
        <v>34</v>
      </c>
      <c r="E45" t="s">
        <v>59</v>
      </c>
      <c r="F45" t="s">
        <v>121</v>
      </c>
      <c r="G45">
        <v>1</v>
      </c>
    </row>
    <row r="46" spans="3:7" x14ac:dyDescent="0.25">
      <c r="C46" t="s">
        <v>2</v>
      </c>
      <c r="D46" t="s">
        <v>35</v>
      </c>
      <c r="E46" t="s">
        <v>60</v>
      </c>
      <c r="F46" t="s">
        <v>122</v>
      </c>
      <c r="G46">
        <v>163.19999999999999</v>
      </c>
    </row>
    <row r="47" spans="3:7" x14ac:dyDescent="0.25">
      <c r="C47" t="s">
        <v>176</v>
      </c>
      <c r="D47" t="s">
        <v>36</v>
      </c>
      <c r="E47" t="s">
        <v>61</v>
      </c>
      <c r="F47" t="s">
        <v>123</v>
      </c>
      <c r="G47">
        <v>3198.31</v>
      </c>
    </row>
    <row r="48" spans="3:7" x14ac:dyDescent="0.25">
      <c r="C48" t="s">
        <v>176</v>
      </c>
      <c r="D48" t="s">
        <v>36</v>
      </c>
      <c r="E48" t="s">
        <v>62</v>
      </c>
      <c r="F48" t="s">
        <v>124</v>
      </c>
      <c r="G48">
        <v>25.92</v>
      </c>
    </row>
    <row r="49" spans="3:7" x14ac:dyDescent="0.25">
      <c r="C49" t="s">
        <v>207</v>
      </c>
      <c r="D49" t="s">
        <v>37</v>
      </c>
      <c r="E49" t="s">
        <v>63</v>
      </c>
      <c r="F49" t="s">
        <v>125</v>
      </c>
      <c r="G49">
        <v>7737.63</v>
      </c>
    </row>
    <row r="50" spans="3:7" x14ac:dyDescent="0.25">
      <c r="C50" t="s">
        <v>0</v>
      </c>
      <c r="D50" t="s">
        <v>38</v>
      </c>
      <c r="E50" t="s">
        <v>64</v>
      </c>
      <c r="F50" t="s">
        <v>126</v>
      </c>
      <c r="G50">
        <v>324.81</v>
      </c>
    </row>
    <row r="51" spans="3:7" x14ac:dyDescent="0.25">
      <c r="C51" t="s">
        <v>0</v>
      </c>
      <c r="D51" t="s">
        <v>38</v>
      </c>
      <c r="E51" t="s">
        <v>65</v>
      </c>
      <c r="F51" t="s">
        <v>127</v>
      </c>
      <c r="G51">
        <v>95.44</v>
      </c>
    </row>
    <row r="52" spans="3:7" x14ac:dyDescent="0.25">
      <c r="C52" t="s">
        <v>0</v>
      </c>
      <c r="D52" t="s">
        <v>38</v>
      </c>
      <c r="E52" t="s">
        <v>66</v>
      </c>
      <c r="F52" t="s">
        <v>128</v>
      </c>
      <c r="G52">
        <v>55.38</v>
      </c>
    </row>
    <row r="53" spans="3:7" x14ac:dyDescent="0.25">
      <c r="C53" t="s">
        <v>0</v>
      </c>
      <c r="D53" t="s">
        <v>38</v>
      </c>
      <c r="E53" t="s">
        <v>67</v>
      </c>
      <c r="F53" t="s">
        <v>129</v>
      </c>
      <c r="G53">
        <v>10.64</v>
      </c>
    </row>
    <row r="54" spans="3:7" x14ac:dyDescent="0.25">
      <c r="C54" t="s">
        <v>175</v>
      </c>
      <c r="D54" t="s">
        <v>39</v>
      </c>
      <c r="E54" t="s">
        <v>68</v>
      </c>
      <c r="F54" t="s">
        <v>130</v>
      </c>
      <c r="G54">
        <v>15.95</v>
      </c>
    </row>
    <row r="55" spans="3:7" x14ac:dyDescent="0.25">
      <c r="C55" t="s">
        <v>175</v>
      </c>
      <c r="D55" t="s">
        <v>39</v>
      </c>
      <c r="E55" t="s">
        <v>69</v>
      </c>
      <c r="F55" t="s">
        <v>131</v>
      </c>
      <c r="G55">
        <v>1176.8499999999999</v>
      </c>
    </row>
    <row r="56" spans="3:7" x14ac:dyDescent="0.25">
      <c r="C56" t="s">
        <v>174</v>
      </c>
      <c r="D56" t="s">
        <v>30</v>
      </c>
      <c r="E56" t="s">
        <v>70</v>
      </c>
      <c r="F56" t="s">
        <v>132</v>
      </c>
      <c r="G56">
        <v>3576.96</v>
      </c>
    </row>
    <row r="57" spans="3:7" x14ac:dyDescent="0.25">
      <c r="C57" t="s">
        <v>4</v>
      </c>
      <c r="D57" t="s">
        <v>40</v>
      </c>
      <c r="E57" t="s">
        <v>71</v>
      </c>
      <c r="F57" t="s">
        <v>133</v>
      </c>
      <c r="G57">
        <v>18.95</v>
      </c>
    </row>
    <row r="58" spans="3:7" x14ac:dyDescent="0.25">
      <c r="C58" t="s">
        <v>2</v>
      </c>
      <c r="D58" t="s">
        <v>41</v>
      </c>
      <c r="E58" t="s">
        <v>72</v>
      </c>
      <c r="F58" t="s">
        <v>134</v>
      </c>
      <c r="G58">
        <v>53.51</v>
      </c>
    </row>
    <row r="59" spans="3:7" x14ac:dyDescent="0.25">
      <c r="C59" t="s">
        <v>2</v>
      </c>
      <c r="D59" t="s">
        <v>41</v>
      </c>
      <c r="E59" t="s">
        <v>73</v>
      </c>
      <c r="F59" t="s">
        <v>135</v>
      </c>
      <c r="G59">
        <v>28.43</v>
      </c>
    </row>
    <row r="60" spans="3:7" x14ac:dyDescent="0.25">
      <c r="C60" t="s">
        <v>2</v>
      </c>
      <c r="D60" t="s">
        <v>41</v>
      </c>
      <c r="E60" t="s">
        <v>74</v>
      </c>
      <c r="F60" t="s">
        <v>136</v>
      </c>
      <c r="G60">
        <v>16.059999999999999</v>
      </c>
    </row>
    <row r="61" spans="3:7" x14ac:dyDescent="0.25">
      <c r="C61" t="s">
        <v>2</v>
      </c>
      <c r="D61" t="s">
        <v>42</v>
      </c>
      <c r="E61" t="s">
        <v>75</v>
      </c>
      <c r="F61" t="s">
        <v>137</v>
      </c>
      <c r="G61">
        <v>4.9800000000000004</v>
      </c>
    </row>
    <row r="62" spans="3:7" x14ac:dyDescent="0.25">
      <c r="C62" t="s">
        <v>2</v>
      </c>
      <c r="D62" t="s">
        <v>42</v>
      </c>
      <c r="E62" t="s">
        <v>76</v>
      </c>
      <c r="F62" t="s">
        <v>138</v>
      </c>
      <c r="G62">
        <v>0.42</v>
      </c>
    </row>
    <row r="63" spans="3:7" x14ac:dyDescent="0.25">
      <c r="C63" t="s">
        <v>2</v>
      </c>
      <c r="D63" t="s">
        <v>42</v>
      </c>
      <c r="E63" t="s">
        <v>77</v>
      </c>
      <c r="F63" t="s">
        <v>139</v>
      </c>
      <c r="G63">
        <v>3.13</v>
      </c>
    </row>
    <row r="64" spans="3:7" x14ac:dyDescent="0.25">
      <c r="C64" t="s">
        <v>2</v>
      </c>
      <c r="D64" t="s">
        <v>43</v>
      </c>
      <c r="E64" t="s">
        <v>78</v>
      </c>
      <c r="F64" t="s">
        <v>140</v>
      </c>
      <c r="G64">
        <v>4.29</v>
      </c>
    </row>
    <row r="65" spans="3:7" x14ac:dyDescent="0.25">
      <c r="C65" t="s">
        <v>2</v>
      </c>
      <c r="D65" t="s">
        <v>42</v>
      </c>
      <c r="E65" t="s">
        <v>79</v>
      </c>
      <c r="F65" t="s">
        <v>141</v>
      </c>
      <c r="G65">
        <v>25.65</v>
      </c>
    </row>
    <row r="66" spans="3:7" x14ac:dyDescent="0.25">
      <c r="C66" t="s">
        <v>2</v>
      </c>
      <c r="D66" t="s">
        <v>42</v>
      </c>
      <c r="E66" t="s">
        <v>80</v>
      </c>
      <c r="F66" t="s">
        <v>142</v>
      </c>
      <c r="G66">
        <v>10.07</v>
      </c>
    </row>
    <row r="67" spans="3:7" x14ac:dyDescent="0.25">
      <c r="C67" t="s">
        <v>44</v>
      </c>
      <c r="D67" t="s">
        <v>44</v>
      </c>
      <c r="E67" t="s">
        <v>81</v>
      </c>
      <c r="F67" t="s">
        <v>143</v>
      </c>
      <c r="G67">
        <v>36567.269999999997</v>
      </c>
    </row>
    <row r="68" spans="3:7" x14ac:dyDescent="0.25">
      <c r="C68" t="s">
        <v>2</v>
      </c>
      <c r="D68" t="s">
        <v>42</v>
      </c>
      <c r="E68" t="s">
        <v>82</v>
      </c>
      <c r="F68" t="s">
        <v>144</v>
      </c>
      <c r="G68">
        <v>1525.47</v>
      </c>
    </row>
    <row r="69" spans="3:7" x14ac:dyDescent="0.25">
      <c r="C69" t="s">
        <v>2</v>
      </c>
      <c r="D69" t="s">
        <v>45</v>
      </c>
      <c r="E69" t="s">
        <v>45</v>
      </c>
      <c r="F69" t="s">
        <v>145</v>
      </c>
      <c r="G69">
        <v>0</v>
      </c>
    </row>
    <row r="70" spans="3:7" x14ac:dyDescent="0.25">
      <c r="C70" t="str">
        <f>D70</f>
        <v>Comm&amp;gov</v>
      </c>
      <c r="D70" t="s">
        <v>46</v>
      </c>
      <c r="E70" t="s">
        <v>83</v>
      </c>
      <c r="F70" t="s">
        <v>146</v>
      </c>
      <c r="G70">
        <v>0</v>
      </c>
    </row>
    <row r="71" spans="3:7" x14ac:dyDescent="0.25">
      <c r="C71" t="str">
        <f>D71</f>
        <v>Comm&amp;gov</v>
      </c>
      <c r="D71" t="s">
        <v>46</v>
      </c>
      <c r="E71" t="s">
        <v>84</v>
      </c>
      <c r="F71" t="s">
        <v>147</v>
      </c>
      <c r="G71">
        <v>0</v>
      </c>
    </row>
    <row r="72" spans="3:7" x14ac:dyDescent="0.25">
      <c r="C72" t="str">
        <f>D72</f>
        <v>Comm&amp;gov</v>
      </c>
      <c r="D72" t="s">
        <v>46</v>
      </c>
      <c r="E72" t="s">
        <v>85</v>
      </c>
      <c r="F72" t="s">
        <v>148</v>
      </c>
      <c r="G72">
        <v>0</v>
      </c>
    </row>
    <row r="73" spans="3:7" x14ac:dyDescent="0.25">
      <c r="C73" t="str">
        <f>D73</f>
        <v>Comm&amp;gov</v>
      </c>
      <c r="D73" t="s">
        <v>46</v>
      </c>
      <c r="E73" t="s">
        <v>86</v>
      </c>
      <c r="F73" t="s">
        <v>149</v>
      </c>
      <c r="G73">
        <v>46.55</v>
      </c>
    </row>
    <row r="74" spans="3:7" x14ac:dyDescent="0.25">
      <c r="C74" t="s">
        <v>2</v>
      </c>
      <c r="D74" t="s">
        <v>47</v>
      </c>
      <c r="E74" t="s">
        <v>87</v>
      </c>
      <c r="F74" t="s">
        <v>150</v>
      </c>
      <c r="G74">
        <v>83.72</v>
      </c>
    </row>
    <row r="75" spans="3:7" x14ac:dyDescent="0.25">
      <c r="C75" t="s">
        <v>2</v>
      </c>
      <c r="D75" t="s">
        <v>47</v>
      </c>
      <c r="E75" t="s">
        <v>88</v>
      </c>
      <c r="F75" t="s">
        <v>151</v>
      </c>
      <c r="G75">
        <v>2.82</v>
      </c>
    </row>
    <row r="76" spans="3:7" x14ac:dyDescent="0.25">
      <c r="C76" t="s">
        <v>2</v>
      </c>
      <c r="D76" t="s">
        <v>47</v>
      </c>
      <c r="E76" t="s">
        <v>89</v>
      </c>
      <c r="F76" t="s">
        <v>152</v>
      </c>
      <c r="G76">
        <v>21.02</v>
      </c>
    </row>
    <row r="77" spans="3:7" x14ac:dyDescent="0.25">
      <c r="C77" t="s">
        <v>2</v>
      </c>
      <c r="D77" t="s">
        <v>47</v>
      </c>
      <c r="E77" t="s">
        <v>90</v>
      </c>
      <c r="F77" t="s">
        <v>153</v>
      </c>
      <c r="G77">
        <v>26.41</v>
      </c>
    </row>
    <row r="78" spans="3:7" x14ac:dyDescent="0.25">
      <c r="C78" t="str">
        <f>D78</f>
        <v>Comm&amp;gov</v>
      </c>
      <c r="D78" t="s">
        <v>46</v>
      </c>
      <c r="E78" t="s">
        <v>91</v>
      </c>
      <c r="F78" t="s">
        <v>154</v>
      </c>
      <c r="G78">
        <v>1.8</v>
      </c>
    </row>
    <row r="79" spans="3:7" x14ac:dyDescent="0.25">
      <c r="C79" t="str">
        <f>D79</f>
        <v>Comm&amp;gov</v>
      </c>
      <c r="D79" t="s">
        <v>46</v>
      </c>
      <c r="E79" t="s">
        <v>92</v>
      </c>
      <c r="F79" t="s">
        <v>155</v>
      </c>
      <c r="G79">
        <v>0</v>
      </c>
    </row>
    <row r="80" spans="3:7" x14ac:dyDescent="0.25">
      <c r="C80" t="str">
        <f>D80</f>
        <v>Comm&amp;gov</v>
      </c>
      <c r="D80" t="s">
        <v>46</v>
      </c>
      <c r="E80" t="s">
        <v>93</v>
      </c>
      <c r="F80" t="s">
        <v>156</v>
      </c>
      <c r="G80">
        <v>0</v>
      </c>
    </row>
    <row r="81" spans="3:7" x14ac:dyDescent="0.25">
      <c r="C81" t="str">
        <f>D81</f>
        <v>Comm&amp;gov</v>
      </c>
      <c r="D81" t="s">
        <v>46</v>
      </c>
      <c r="E81" t="s">
        <v>94</v>
      </c>
      <c r="F81" t="s">
        <v>157</v>
      </c>
      <c r="G81">
        <v>0</v>
      </c>
    </row>
    <row r="82" spans="3:7" x14ac:dyDescent="0.25">
      <c r="C82" t="str">
        <f>D82</f>
        <v>Comm&amp;gov</v>
      </c>
      <c r="D82" t="s">
        <v>46</v>
      </c>
      <c r="E82" t="s">
        <v>95</v>
      </c>
      <c r="F82" t="s">
        <v>158</v>
      </c>
      <c r="G82">
        <v>0</v>
      </c>
    </row>
    <row r="83" spans="3:7" x14ac:dyDescent="0.25">
      <c r="C83" t="str">
        <f>D83</f>
        <v>Comm&amp;gov</v>
      </c>
      <c r="D83" t="s">
        <v>46</v>
      </c>
      <c r="E83" t="s">
        <v>96</v>
      </c>
      <c r="F83" t="s">
        <v>159</v>
      </c>
      <c r="G83">
        <v>0</v>
      </c>
    </row>
    <row r="84" spans="3:7" x14ac:dyDescent="0.25">
      <c r="C84" t="str">
        <f>D84</f>
        <v>Comm&amp;gov</v>
      </c>
      <c r="D84" t="s">
        <v>46</v>
      </c>
      <c r="E84" t="s">
        <v>97</v>
      </c>
      <c r="F84" t="s">
        <v>160</v>
      </c>
      <c r="G84">
        <v>0</v>
      </c>
    </row>
    <row r="85" spans="3:7" x14ac:dyDescent="0.25">
      <c r="C85" t="str">
        <f>D85</f>
        <v>Comm&amp;gov</v>
      </c>
      <c r="D85" t="s">
        <v>46</v>
      </c>
      <c r="E85" t="s">
        <v>98</v>
      </c>
      <c r="F85" t="s">
        <v>161</v>
      </c>
      <c r="G85">
        <v>0</v>
      </c>
    </row>
    <row r="86" spans="3:7" x14ac:dyDescent="0.25">
      <c r="C86" t="str">
        <f>D86</f>
        <v>Comm&amp;gov</v>
      </c>
      <c r="D86" t="s">
        <v>46</v>
      </c>
      <c r="E86" t="s">
        <v>99</v>
      </c>
      <c r="F86" t="s">
        <v>162</v>
      </c>
      <c r="G86">
        <v>0</v>
      </c>
    </row>
    <row r="87" spans="3:7" x14ac:dyDescent="0.25">
      <c r="C87" t="str">
        <f>D87</f>
        <v>Comm&amp;gov</v>
      </c>
      <c r="D87" t="s">
        <v>46</v>
      </c>
      <c r="E87" t="s">
        <v>100</v>
      </c>
      <c r="F87" t="s">
        <v>163</v>
      </c>
      <c r="G87">
        <v>683.05</v>
      </c>
    </row>
    <row r="88" spans="3:7" x14ac:dyDescent="0.25">
      <c r="C88" t="str">
        <f>D88</f>
        <v>Comm&amp;gov</v>
      </c>
      <c r="D88" t="s">
        <v>46</v>
      </c>
      <c r="E88" t="s">
        <v>101</v>
      </c>
      <c r="F88" t="s">
        <v>164</v>
      </c>
      <c r="G88">
        <v>16.04</v>
      </c>
    </row>
    <row r="89" spans="3:7" x14ac:dyDescent="0.25">
      <c r="C89" t="str">
        <f>D89</f>
        <v>Comm&amp;gov</v>
      </c>
      <c r="D89" t="s">
        <v>46</v>
      </c>
      <c r="E89" t="s">
        <v>102</v>
      </c>
      <c r="F89" t="s">
        <v>165</v>
      </c>
      <c r="G89">
        <v>56.34</v>
      </c>
    </row>
    <row r="90" spans="3:7" x14ac:dyDescent="0.25">
      <c r="C90" t="str">
        <f>D90</f>
        <v>Comm&amp;gov</v>
      </c>
      <c r="D90" t="s">
        <v>46</v>
      </c>
      <c r="E90" t="s">
        <v>103</v>
      </c>
      <c r="F90" t="s">
        <v>166</v>
      </c>
      <c r="G90">
        <v>0.25</v>
      </c>
    </row>
    <row r="91" spans="3:7" x14ac:dyDescent="0.25">
      <c r="C91" t="str">
        <f>D91</f>
        <v>Comm&amp;gov</v>
      </c>
      <c r="D91" t="s">
        <v>46</v>
      </c>
      <c r="E91" t="s">
        <v>104</v>
      </c>
      <c r="F91" t="s">
        <v>167</v>
      </c>
      <c r="G91">
        <v>0.81</v>
      </c>
    </row>
    <row r="92" spans="3:7" x14ac:dyDescent="0.25">
      <c r="C92" t="str">
        <f>D92</f>
        <v>Comm&amp;gov</v>
      </c>
      <c r="D92" t="s">
        <v>46</v>
      </c>
      <c r="E92" t="s">
        <v>105</v>
      </c>
      <c r="F92" t="s">
        <v>168</v>
      </c>
      <c r="G92">
        <v>16.45</v>
      </c>
    </row>
    <row r="93" spans="3:7" x14ac:dyDescent="0.25">
      <c r="C93" t="str">
        <f>D93</f>
        <v>Comm&amp;gov</v>
      </c>
      <c r="D93" t="s">
        <v>46</v>
      </c>
      <c r="E93" t="s">
        <v>106</v>
      </c>
      <c r="F93" t="s">
        <v>169</v>
      </c>
      <c r="G93">
        <v>1.66</v>
      </c>
    </row>
    <row r="94" spans="3:7" x14ac:dyDescent="0.25">
      <c r="C94" t="str">
        <f>D94</f>
        <v>Comm&amp;gov</v>
      </c>
      <c r="D94" t="s">
        <v>46</v>
      </c>
      <c r="E94" t="s">
        <v>107</v>
      </c>
      <c r="F94" t="s">
        <v>170</v>
      </c>
      <c r="G94">
        <v>76.209999999999994</v>
      </c>
    </row>
    <row r="95" spans="3:7" x14ac:dyDescent="0.25">
      <c r="C95">
        <f>D95</f>
        <v>0</v>
      </c>
      <c r="E95" t="s">
        <v>108</v>
      </c>
      <c r="F95" t="s">
        <v>171</v>
      </c>
      <c r="G95">
        <v>61544.66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ProcessHeat</vt:lpstr>
      <vt:lpstr>CoalBalance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2021-06-10T09:00:31Z</dcterms:created>
  <dcterms:modified xsi:type="dcterms:W3CDTF">2021-06-11T14:44:15Z</dcterms:modified>
</cp:coreProperties>
</file>